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8" sheetId="1" state="visible" r:id="rId2"/>
    <sheet name="①基礎情報" sheetId="2" state="visible" r:id="rId3"/>
    <sheet name="②職務経歴概要" sheetId="3" state="visible" r:id="rId4"/>
    <sheet name="③売上・原価" sheetId="4" state="visible" r:id="rId5"/>
    <sheet name="④人件費" sheetId="5" state="visible" r:id="rId6"/>
    <sheet name="⑤初期投資一覧表" sheetId="6" state="visible" r:id="rId7"/>
    <sheet name="⑥設備一覧表" sheetId="7" state="visible" r:id="rId8"/>
    <sheet name="⑦損益シミュレーション" sheetId="8" state="visible" r:id="rId9"/>
  </sheets>
  <definedNames>
    <definedName function="false" hidden="false" localSheetId="1" name="_xlnm.Print_Area" vbProcedure="false">①基礎情報!$A$2:$H$10</definedName>
    <definedName function="false" hidden="false" localSheetId="2" name="_xlnm.Print_Area" vbProcedure="false">②職務経歴概要!$A$1:$AS$20</definedName>
    <definedName function="false" hidden="false" localSheetId="3" name="_xlnm.Print_Area" vbProcedure="false">③売上・原価!$A$2:$O$52</definedName>
    <definedName function="false" hidden="false" localSheetId="4" name="_xlnm.Print_Area" vbProcedure="false">④人件費!$A$2:$I$23</definedName>
    <definedName function="false" hidden="false" localSheetId="5" name="_xlnm.Print_Area" vbProcedure="false">⑤初期投資一覧表!$A$1:$K$33</definedName>
    <definedName function="false" hidden="false" localSheetId="6" name="_xlnm.Print_Area" vbProcedure="false">⑥設備一覧表!$A$1:$M$17</definedName>
    <definedName function="false" hidden="false" localSheetId="7" name="_xlnm.Print_Area" vbProcedure="false">⑦損益シミュレーション!$B$2:$V$43</definedName>
    <definedName function="false" hidden="false" localSheetId="0" name="_xlnm.Print_Area" vbProcedure="false">Sheet8!$A$1:$S$36</definedName>
    <definedName function="false" hidden="false" localSheetId="2" name="_xlnm.Print_Area" vbProcedure="false">②職務経歴概要!$A$1:$AR$27</definedName>
    <definedName function="false" hidden="false" localSheetId="3" name="_xlnm.Print_Area" vbProcedure="false">③売上・原価!$A$1:$O$52</definedName>
    <definedName function="false" hidden="false" localSheetId="3" name="_xlnm.Print_Area_0_0" vbProcedure="false">③売上・原価!$A$2:$O$48</definedName>
    <definedName function="false" hidden="false" localSheetId="4" name="_xlnm.Print_Area" vbProcedure="false">④人件費!$A$1:$I$23</definedName>
    <definedName function="false" hidden="false" localSheetId="4" name="_xlnm.Print_Area_0_0" vbProcedure="false">④人件費!$A$2:$J$16</definedName>
    <definedName function="false" hidden="false" localSheetId="5" name="_xlnm.Print_Area" vbProcedure="false">⑤初期投資一覧表!$A$1:$J$33</definedName>
    <definedName function="false" hidden="false" localSheetId="5" name="_xlnm.Print_Area_0_0" vbProcedure="false">⑤初期投資一覧表!$A$1:$G$33</definedName>
    <definedName function="false" hidden="false" localSheetId="6" name="_xlnm.Print_Area" vbProcedure="false">⑥設備一覧表!$A$1:$N$17</definedName>
    <definedName function="false" hidden="false" localSheetId="6" name="_xlnm.Print_Area_0_0" vbProcedure="false">⑥設備一覧表!$A$1:$N$19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<sst xmlns="http://schemas.openxmlformats.org/spreadsheetml/2006/main" count="282" uniqueCount="192">
  <si>
    <t xml:space="preserve">損益計算書</t>
  </si>
  <si>
    <t xml:space="preserve">事業名：</t>
  </si>
  <si>
    <t xml:space="preserve">一般社団法人Advanced Art ほくりく　第１期予想損益計算書（第１期2022年４月～2023年３月）</t>
  </si>
  <si>
    <t xml:space="preserve">製作年月日：</t>
  </si>
  <si>
    <t xml:space="preserve">2022年04/15</t>
  </si>
  <si>
    <t xml:space="preserve"> [単位:円]</t>
  </si>
  <si>
    <t xml:space="preserve">損　　益　　計　　算　　書</t>
  </si>
  <si>
    <t xml:space="preserve">開業準備</t>
  </si>
  <si>
    <t xml:space="preserve">2022年４月</t>
  </si>
  <si>
    <t xml:space="preserve">５月</t>
  </si>
  <si>
    <t xml:space="preserve">６月</t>
  </si>
  <si>
    <t xml:space="preserve">７月</t>
  </si>
  <si>
    <t xml:space="preserve">８月</t>
  </si>
  <si>
    <t xml:space="preserve">９月</t>
  </si>
  <si>
    <t xml:space="preserve">１０月</t>
  </si>
  <si>
    <t xml:space="preserve">１１月</t>
  </si>
  <si>
    <t xml:space="preserve">１２月</t>
  </si>
  <si>
    <t xml:space="preserve">2023年1月</t>
  </si>
  <si>
    <t xml:space="preserve">２月</t>
  </si>
  <si>
    <t xml:space="preserve">３月</t>
  </si>
  <si>
    <t xml:space="preserve">第１期度合計</t>
  </si>
  <si>
    <t xml:space="preserve">収入の部</t>
  </si>
  <si>
    <t xml:space="preserve"> 売 上 高 １</t>
  </si>
  <si>
    <t xml:space="preserve">益</t>
  </si>
  <si>
    <t xml:space="preserve"> 売 上 高 ２</t>
  </si>
  <si>
    <t xml:space="preserve">損</t>
  </si>
  <si>
    <t xml:space="preserve">の</t>
  </si>
  <si>
    <t xml:space="preserve"> 売 上 高 ３</t>
  </si>
  <si>
    <t xml:space="preserve">部</t>
  </si>
  <si>
    <t xml:space="preserve">合　計</t>
  </si>
  <si>
    <t xml:space="preserve">費用の部１</t>
  </si>
  <si>
    <t xml:space="preserve">人件費</t>
  </si>
  <si>
    <t xml:space="preserve">外注費</t>
  </si>
  <si>
    <t xml:space="preserve">会場費１</t>
  </si>
  <si>
    <t xml:space="preserve">会場費２</t>
  </si>
  <si>
    <t xml:space="preserve">旅費交通費</t>
  </si>
  <si>
    <t xml:space="preserve">広告宣伝費</t>
  </si>
  <si>
    <t xml:space="preserve">接待費</t>
  </si>
  <si>
    <t xml:space="preserve">消耗品費</t>
  </si>
  <si>
    <t xml:space="preserve">雑費</t>
  </si>
  <si>
    <t xml:space="preserve">費用の部２</t>
  </si>
  <si>
    <t xml:space="preserve">費</t>
  </si>
  <si>
    <t xml:space="preserve">用</t>
  </si>
  <si>
    <t xml:space="preserve">計</t>
  </si>
  <si>
    <t xml:space="preserve">算</t>
  </si>
  <si>
    <t xml:space="preserve">合   計</t>
  </si>
  <si>
    <t xml:space="preserve">書</t>
  </si>
  <si>
    <t xml:space="preserve">税引前当期利益</t>
  </si>
  <si>
    <t xml:space="preserve">前期繰越利益</t>
  </si>
  <si>
    <t xml:space="preserve">課税対象利益</t>
  </si>
  <si>
    <t xml:space="preserve">法人税等充当額</t>
  </si>
  <si>
    <t xml:space="preserve">未 処 分 利 益</t>
  </si>
  <si>
    <t xml:space="preserve">入力が必要な箇所</t>
  </si>
  <si>
    <t xml:space="preserve">基礎情報</t>
  </si>
  <si>
    <t xml:space="preserve">事業年度</t>
  </si>
  <si>
    <t xml:space="preserve">月</t>
  </si>
  <si>
    <t xml:space="preserve">～</t>
  </si>
  <si>
    <t xml:space="preserve">会社設立年月</t>
  </si>
  <si>
    <t xml:space="preserve">年</t>
  </si>
  <si>
    <t xml:space="preserve">初年度月数</t>
  </si>
  <si>
    <t xml:space="preserve">ヶ月</t>
  </si>
  <si>
    <t xml:space="preserve">会社名・屋号</t>
  </si>
  <si>
    <t xml:space="preserve">ルナーレ事務局</t>
  </si>
  <si>
    <t xml:space="preserve">職務経歴概要</t>
  </si>
  <si>
    <t xml:space="preserve">開始日</t>
  </si>
  <si>
    <t xml:space="preserve">終了日</t>
  </si>
  <si>
    <t xml:space="preserve">在籍社名</t>
  </si>
  <si>
    <t xml:space="preserve">店舗名</t>
  </si>
  <si>
    <t xml:space="preserve">業種業態</t>
  </si>
  <si>
    <t xml:space="preserve">業務内容/ポジション</t>
  </si>
  <si>
    <t xml:space="preserve">特記事項</t>
  </si>
  <si>
    <t xml:space="preserve">2004年</t>
  </si>
  <si>
    <t xml:space="preserve">ルナーレ結成</t>
  </si>
  <si>
    <t xml:space="preserve">演奏業</t>
  </si>
  <si>
    <t xml:space="preserve">家族構成/扶養の義務</t>
  </si>
  <si>
    <t xml:space="preserve">扶養家族数
（配偶者を除く）</t>
  </si>
  <si>
    <t xml:space="preserve">配偶者</t>
  </si>
  <si>
    <t xml:space="preserve">配偶者の扶養義務</t>
  </si>
  <si>
    <t xml:space="preserve">人</t>
  </si>
  <si>
    <t xml:space="preserve">無</t>
  </si>
  <si>
    <t xml:space="preserve">配偶者の収入</t>
  </si>
  <si>
    <t xml:space="preserve">年収</t>
  </si>
  <si>
    <t xml:space="preserve">万円</t>
  </si>
  <si>
    <t xml:space="preserve">売上試算</t>
  </si>
  <si>
    <t xml:space="preserve">●基本情報</t>
  </si>
  <si>
    <t xml:space="preserve">【営業日】</t>
  </si>
  <si>
    <t xml:space="preserve">【売上の計算】</t>
  </si>
  <si>
    <t xml:space="preserve">営業週数/月</t>
  </si>
  <si>
    <t xml:space="preserve">稼働週</t>
  </si>
  <si>
    <t xml:space="preserve">日ごとに計測できる業務ではないため、週ごとまとめて算出する。</t>
  </si>
  <si>
    <t xml:space="preserve">非稼働週</t>
  </si>
  <si>
    <t xml:space="preserve">【今期に想定される事業区分】</t>
  </si>
  <si>
    <t xml:space="preserve">①演奏ニーズの落ち込んでいる立ち上げ直後（４～６月）</t>
  </si>
  <si>
    <t xml:space="preserve">②文化庁補助事業「Art of the future!!」による補助事業期間（７～１１月）</t>
  </si>
  <si>
    <t xml:space="preserve">③復興の見込まれる軌道後・業界繁忙期（１２月以降）</t>
  </si>
  <si>
    <t xml:space="preserve">【本年度の基本方針】</t>
  </si>
  <si>
    <t xml:space="preserve">①コロナ禍によって現状では演奏現場は月１回（0.25/週）ほどに減少している。</t>
  </si>
  <si>
    <t xml:space="preserve">【単価設定】</t>
  </si>
  <si>
    <t xml:space="preserve">②文化庁補助事業「Art of the future!!」における、本年度の取組「Music Train」による収益</t>
  </si>
  <si>
    <t xml:space="preserve">メニュー</t>
  </si>
  <si>
    <t xml:space="preserve">単価</t>
  </si>
  <si>
    <t xml:space="preserve">　・チケット料</t>
  </si>
  <si>
    <t xml:space="preserve">ルナーレ事務局演奏現場</t>
  </si>
  <si>
    <t xml:space="preserve">　・スポンサー料（文化団体より内定）</t>
  </si>
  <si>
    <t xml:space="preserve">　により、事業期間中精力的な活動を行う。</t>
  </si>
  <si>
    <t xml:space="preserve">Music Train チケット料</t>
  </si>
  <si>
    <t xml:space="preserve">　※チケット料の予測値は期間中の宣伝効果を見越し、補助事業期間の平均とする（損益には×0.8～1.2の推移で計上）</t>
  </si>
  <si>
    <t xml:space="preserve">Music Train スポンサー料</t>
  </si>
  <si>
    <t xml:space="preserve">③文化庁補助事業「Art of the future!!」における当事務局の積極的な活動による効果により</t>
  </si>
  <si>
    <t xml:space="preserve">　補助事業期間後の業界繁忙期に、現在見込まれている需要に対して更なる追加復興を行う。</t>
  </si>
  <si>
    <t xml:space="preserve">　（現在見込まれている需要アカウント×1.25）</t>
  </si>
  <si>
    <t xml:space="preserve">④軌道後は演奏売上に×1.05/月ペースでの増加を見込んでいる。</t>
  </si>
  <si>
    <t xml:space="preserve">以上により、補助事業期間～軌道後・業界繁忙期の双方で今期の売上増加を図る。</t>
  </si>
  <si>
    <t xml:space="preserve">●売上げ予測</t>
  </si>
  <si>
    <t xml:space="preserve">【補助事業期間前４月～６月】</t>
  </si>
  <si>
    <t xml:space="preserve">【補助事業初期７～９月】</t>
  </si>
  <si>
    <t xml:space="preserve">発注数/週</t>
  </si>
  <si>
    <t xml:space="preserve">売上/週</t>
  </si>
  <si>
    <t xml:space="preserve">発注数/月</t>
  </si>
  <si>
    <t xml:space="preserve">売上/月</t>
  </si>
  <si>
    <t xml:space="preserve">合計</t>
  </si>
  <si>
    <t xml:space="preserve">【補助事業期間後期・業界繁忙期１０～１１月】</t>
  </si>
  <si>
    <t xml:space="preserve">【軌道後１２月～】</t>
  </si>
  <si>
    <t xml:space="preserve">人件・物件費</t>
  </si>
  <si>
    <t xml:space="preserve">【設定経費】</t>
  </si>
  <si>
    <t xml:space="preserve">種別</t>
  </si>
  <si>
    <t xml:space="preserve">区分</t>
  </si>
  <si>
    <t xml:space="preserve">金額</t>
  </si>
  <si>
    <t xml:space="preserve">演奏費</t>
  </si>
  <si>
    <t xml:space="preserve">１現場</t>
  </si>
  <si>
    <t xml:space="preserve">配信委託費</t>
  </si>
  <si>
    <t xml:space="preserve">広告・稽古場使用料</t>
  </si>
  <si>
    <t xml:space="preserve">【補助事業期間前４月～６月】 </t>
  </si>
  <si>
    <t xml:space="preserve">【補助事業初期７～９月】 </t>
  </si>
  <si>
    <t xml:space="preserve">現場数</t>
  </si>
  <si>
    <t xml:space="preserve">賃金/月</t>
  </si>
  <si>
    <t xml:space="preserve">【軌道後１２月～】 </t>
  </si>
  <si>
    <t xml:space="preserve">初期投資一覧表</t>
  </si>
  <si>
    <t xml:space="preserve">不動産取得費用</t>
  </si>
  <si>
    <t xml:space="preserve">※既に活動歴のある個人が主軸になっているため</t>
  </si>
  <si>
    <t xml:space="preserve">敷金</t>
  </si>
  <si>
    <t xml:space="preserve">　初期投資は新規（補助）事業に必要な機材費のみ</t>
  </si>
  <si>
    <t xml:space="preserve">礼金</t>
  </si>
  <si>
    <t xml:space="preserve">仲介手数料</t>
  </si>
  <si>
    <t xml:space="preserve">前家賃</t>
  </si>
  <si>
    <t xml:space="preserve">その他</t>
  </si>
  <si>
    <t xml:space="preserve">小　　　計</t>
  </si>
  <si>
    <t xml:space="preserve">設備取得費用</t>
  </si>
  <si>
    <t xml:space="preserve">追加音響設備費</t>
  </si>
  <si>
    <t xml:space="preserve">創立費/開業費</t>
  </si>
  <si>
    <t xml:space="preserve">不動産関係</t>
  </si>
  <si>
    <t xml:space="preserve">合　　　計</t>
  </si>
  <si>
    <t xml:space="preserve">設備一覧表</t>
  </si>
  <si>
    <t xml:space="preserve">名称</t>
  </si>
  <si>
    <t xml:space="preserve">取得金額</t>
  </si>
  <si>
    <t xml:space="preserve">償却方法</t>
  </si>
  <si>
    <t xml:space="preserve">耐用年数（年）</t>
  </si>
  <si>
    <t xml:space="preserve">償却率</t>
  </si>
  <si>
    <t xml:space="preserve">創業年月数</t>
  </si>
  <si>
    <t xml:space="preserve">1年目
月額償却額</t>
  </si>
  <si>
    <t xml:space="preserve">1年目
年度償却額</t>
  </si>
  <si>
    <t xml:space="preserve">1年目
期末簿価</t>
  </si>
  <si>
    <t xml:space="preserve">2年目
月額償却額</t>
  </si>
  <si>
    <t xml:space="preserve">2年目
年度償却額</t>
  </si>
  <si>
    <t xml:space="preserve">2年目
期末簿価</t>
  </si>
  <si>
    <t xml:space="preserve">定率法</t>
  </si>
  <si>
    <t xml:space="preserve">定率</t>
  </si>
  <si>
    <t xml:space="preserve">定額</t>
  </si>
  <si>
    <t xml:space="preserve">定額法</t>
  </si>
  <si>
    <t xml:space="preserve">損益シミュレーション</t>
  </si>
  <si>
    <t xml:space="preserve">（単位：円）</t>
  </si>
  <si>
    <t xml:space="preserve">17か月計</t>
  </si>
  <si>
    <t xml:space="preserve"> 売上高</t>
  </si>
  <si>
    <t xml:space="preserve"> 売上高総利益</t>
  </si>
  <si>
    <t xml:space="preserve">販管費合計</t>
  </si>
  <si>
    <t xml:space="preserve">地代家賃</t>
  </si>
  <si>
    <t xml:space="preserve">支払利息</t>
  </si>
  <si>
    <t xml:space="preserve">通信費</t>
  </si>
  <si>
    <t xml:space="preserve">水道光熱費</t>
  </si>
  <si>
    <t xml:space="preserve">宣伝広告費</t>
  </si>
  <si>
    <t xml:space="preserve">税理士報酬</t>
  </si>
  <si>
    <t xml:space="preserve">福利、消耗品費</t>
  </si>
  <si>
    <t xml:space="preserve">減価償却費</t>
  </si>
  <si>
    <t xml:space="preserve"> 営業利益</t>
  </si>
  <si>
    <t xml:space="preserve">17か月の合計</t>
  </si>
  <si>
    <t xml:space="preserve">事業の見通し（月平均）</t>
  </si>
  <si>
    <t xml:space="preserve">１期目合計</t>
  </si>
  <si>
    <t xml:space="preserve">２期目合計</t>
  </si>
  <si>
    <t xml:space="preserve">創業当初</t>
  </si>
  <si>
    <t xml:space="preserve">繁忙期後</t>
  </si>
  <si>
    <t xml:space="preserve">経費</t>
  </si>
  <si>
    <t xml:space="preserve"> 利益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</si>
</sst>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[$-F800]dddd&quot;, &quot;mmmm\ dd&quot;, &quot;yyyy"/>
    <numFmt numFmtId="166" formatCode="m\月d\日"/>
    <numFmt numFmtId="167" formatCode="#,##0;[RED]\-#,##0"/>
    <numFmt numFmtId="168" formatCode="yyyy/mm/dd"/>
    <numFmt numFmtId="169" formatCode="[$-411]gee\.mm\.dd;@"/>
    <numFmt numFmtId="170" formatCode="\¥#,##0;[RED]&quot;¥-&quot;#,##0"/>
    <numFmt numFmtId="171" formatCode="#,###\日"/>
    <numFmt numFmtId="172" formatCode="General"/>
    <numFmt numFmtId="173" formatCode="@"/>
    <numFmt numFmtId="174" formatCode="0_);[RED]\(0\)"/>
    <numFmt numFmtId="175" formatCode="0.000_ "/>
  </numFmts>
  <fonts count="32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6"/>
      <color rgb="FF000000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b val="true"/>
      <sz val="14"/>
      <color rgb="FF000000"/>
      <name val="ＭＳ Ｐゴシック"/>
      <family val="3"/>
      <charset val="128"/>
    </font>
    <font>
      <sz val="12"/>
      <name val="Times New Roman"/>
      <family val="0"/>
      <charset val="128"/>
    </font>
    <font>
      <sz val="11"/>
      <color rgb="FF000000"/>
      <name val="游明朝"/>
      <family val="2"/>
      <charset val="128"/>
    </font>
    <font>
      <sz val="11"/>
      <name val="游明朝"/>
      <family val="2"/>
      <charset val="128"/>
    </font>
    <font>
      <sz val="10.5"/>
      <color rgb="FF000000"/>
      <name val="ＭＳ Ｐゴシック"/>
      <family val="3"/>
      <charset val="128"/>
    </font>
    <font>
      <b val="true"/>
      <sz val="12"/>
      <color rgb="FF000000"/>
      <name val="ＭＳ Ｐゴシック"/>
      <family val="3"/>
      <charset val="128"/>
    </font>
    <font>
      <b val="true"/>
      <sz val="12"/>
      <color rgb="FFFFFFFF"/>
      <name val="ＭＳ Ｐゴシック"/>
      <family val="3"/>
      <charset val="128"/>
    </font>
    <font>
      <sz val="10.5"/>
      <color rgb="FFFFFFFF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FFFFFF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8"/>
      <name val="ＭＳ Ｐゴシック"/>
      <family val="2"/>
      <charset val="128"/>
    </font>
    <font>
      <sz val="11"/>
      <color rgb="FFFFFFFF"/>
      <name val="ＭＳ Ｐゴシック"/>
      <family val="3"/>
      <charset val="128"/>
    </font>
    <font>
      <b val="true"/>
      <sz val="16"/>
      <color rgb="FFFFFFFF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i val="true"/>
      <sz val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262626"/>
        <bgColor rgb="FF333300"/>
      </patternFill>
    </fill>
    <fill>
      <patternFill patternType="solid">
        <fgColor rgb="FFD9D9D9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rgb="FF0070C0"/>
        <bgColor rgb="FF008080"/>
      </patternFill>
    </fill>
    <fill>
      <patternFill patternType="solid">
        <fgColor rgb="FFFFFFB0"/>
        <bgColor rgb="FFF2F2F2"/>
      </patternFill>
    </fill>
  </fills>
  <borders count="2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double"/>
      <bottom style="dashed"/>
      <diagonal/>
    </border>
    <border diagonalUp="false" diagonalDown="false">
      <left style="thin"/>
      <right style="thin"/>
      <top style="dashed"/>
      <bottom style="dashed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dashed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dash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dashed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>
        <color rgb="FFFFFFFF"/>
      </top>
      <bottom style="thin">
        <color rgb="FFFFFFFF"/>
      </bottom>
      <diagonal/>
    </border>
    <border diagonalUp="false" diagonalDown="false">
      <left style="thin"/>
      <right style="thin"/>
      <top/>
      <bottom style="thin">
        <color rgb="FFFFFFFF"/>
      </bottom>
      <diagonal/>
    </border>
    <border diagonalUp="false" diagonalDown="false">
      <left style="thin"/>
      <right style="thin"/>
      <top style="thin">
        <color rgb="FFFFFFFF"/>
      </top>
      <bottom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center" textRotation="0" wrapText="false" indent="0" shrinkToFit="false"/>
    </xf>
    <xf numFmtId="167" fontId="0" fillId="0" borderId="0" applyFont="true" applyBorder="false" applyAlignment="true" applyProtection="false">
      <alignment horizontal="general" vertical="center" textRotation="0" wrapText="false" indent="0" shrinkToFit="false"/>
    </xf>
    <xf numFmtId="170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5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1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1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1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5" borderId="1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5" borderId="1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5" borderId="1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7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6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7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8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7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8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4" borderId="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9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8" borderId="4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4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0" borderId="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0" borderId="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3" fontId="0" fillId="0" borderId="4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2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0" fillId="0" borderId="1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0" borderId="2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4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2" fillId="9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8" borderId="1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0" fillId="4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8" borderId="1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8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4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1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8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8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8" borderId="4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6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7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8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8" fillId="8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8" borderId="2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8" fillId="8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8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2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29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9" fillId="4" borderId="4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29" fillId="0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2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8" borderId="1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8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4" xfId="21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9" fillId="8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 2" xfId="20"/>
    <cellStyle name="Excel Built-in Comma [0] 1" xfId="21"/>
    <cellStyle name="Excel Built-in Currency [0] 2" xfId="22"/>
  </cellStyles>
  <dxfs count="3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0000"/>
      </font>
    </dxf>
    <dxf>
      <font>
        <color rgb="FF000000"/>
      </font>
      <fill>
        <patternFill>
          <bgColor rgb="FFBFBFB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B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9360</xdr:colOff>
      <xdr:row>11</xdr:row>
      <xdr:rowOff>66600</xdr:rowOff>
    </xdr:from>
    <xdr:to>
      <xdr:col>8</xdr:col>
      <xdr:colOff>234720</xdr:colOff>
      <xdr:row>14</xdr:row>
      <xdr:rowOff>244440</xdr:rowOff>
    </xdr:to>
    <xdr:sp>
      <xdr:nvSpPr>
        <xdr:cNvPr id="0" name="CustomShape 1"/>
        <xdr:cNvSpPr/>
      </xdr:nvSpPr>
      <xdr:spPr>
        <a:xfrm>
          <a:off x="2979720" y="3419280"/>
          <a:ext cx="2697480" cy="1092240"/>
        </a:xfrm>
        <a:prstGeom prst="rect">
          <a:avLst/>
        </a:prstGeom>
        <a:solidFill>
          <a:srgbClr val="ffffff"/>
        </a:solidFill>
        <a:ln w="38160">
          <a:solidFill>
            <a:srgbClr val="00b0f0"/>
          </a:solidFill>
          <a:prstDash val="sysDot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【各数値について】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○</a:t>
          </a:r>
          <a:r>
            <a:rPr b="0" lang="ja-JP" sz="1100" spc="-1" strike="noStrike">
              <a:solidFill>
                <a:srgbClr val="000000"/>
              </a:solidFill>
              <a:latin typeface="Calibri"/>
            </a:rPr>
            <a:t>水色の項目については、手入力が必要です。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○</a:t>
          </a:r>
          <a:r>
            <a:rPr b="0" lang="ja-JP" sz="1100" spc="-1" strike="noStrike">
              <a:solidFill>
                <a:srgbClr val="000000"/>
              </a:solidFill>
              <a:latin typeface="Calibri"/>
            </a:rPr>
            <a:t>水色以外の項目は、自動計算されています。修正が必要な場合は、上書きしてください。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30</xdr:col>
      <xdr:colOff>200160</xdr:colOff>
      <xdr:row>27</xdr:row>
      <xdr:rowOff>123840</xdr:rowOff>
    </xdr:from>
    <xdr:to>
      <xdr:col>43</xdr:col>
      <xdr:colOff>6480</xdr:colOff>
      <xdr:row>33</xdr:row>
      <xdr:rowOff>73080</xdr:rowOff>
    </xdr:to>
    <xdr:sp>
      <xdr:nvSpPr>
        <xdr:cNvPr id="1" name="CustomShape 1"/>
        <xdr:cNvSpPr/>
      </xdr:nvSpPr>
      <xdr:spPr>
        <a:xfrm>
          <a:off x="7020000" y="5267160"/>
          <a:ext cx="2761560" cy="1092240"/>
        </a:xfrm>
        <a:prstGeom prst="rect">
          <a:avLst/>
        </a:prstGeom>
        <a:solidFill>
          <a:srgbClr val="ffffff"/>
        </a:solidFill>
        <a:ln w="38160">
          <a:solidFill>
            <a:srgbClr val="00b0f0"/>
          </a:solidFill>
          <a:prstDash val="sysDot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endParaRPr b="0" lang="en-US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【各数値について】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○</a:t>
          </a:r>
          <a:r>
            <a:rPr b="0" lang="ja-JP" sz="1100" spc="-1" strike="noStrike">
              <a:solidFill>
                <a:srgbClr val="000000"/>
              </a:solidFill>
              <a:latin typeface="Calibri"/>
            </a:rPr>
            <a:t>水色の項目については、手入力が必要です。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○</a:t>
          </a:r>
          <a:r>
            <a:rPr b="0" lang="ja-JP" sz="1100" spc="-1" strike="noStrike">
              <a:solidFill>
                <a:srgbClr val="000000"/>
              </a:solidFill>
              <a:latin typeface="Calibri"/>
            </a:rPr>
            <a:t>水色以外の項目は、自動計算されています。修正が必要な場合は、上書きしてください。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29160</xdr:colOff>
      <xdr:row>41</xdr:row>
      <xdr:rowOff>47880</xdr:rowOff>
    </xdr:from>
    <xdr:to>
      <xdr:col>7</xdr:col>
      <xdr:colOff>730800</xdr:colOff>
      <xdr:row>46</xdr:row>
      <xdr:rowOff>44280</xdr:rowOff>
    </xdr:to>
    <xdr:sp>
      <xdr:nvSpPr>
        <xdr:cNvPr id="2" name="CustomShape 1"/>
        <xdr:cNvSpPr/>
      </xdr:nvSpPr>
      <xdr:spPr>
        <a:xfrm>
          <a:off x="6918120" y="7409880"/>
          <a:ext cx="701640" cy="888120"/>
        </a:xfrm>
        <a:prstGeom prst="right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R35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R8" activeCellId="0" sqref="R8"/>
    </sheetView>
  </sheetViews>
  <sheetFormatPr defaultColWidth="11.640625" defaultRowHeight="13.8" zeroHeight="false" outlineLevelRow="0" outlineLevelCol="0"/>
  <cols>
    <col collapsed="false" customWidth="true" hidden="false" outlineLevel="0" max="6" min="5" style="0" width="9.29"/>
    <col collapsed="false" customWidth="true" hidden="false" outlineLevel="0" max="17" min="7" style="0" width="9.27"/>
  </cols>
  <sheetData>
    <row r="2" customFormat="false" ht="13.8" hidden="false" customHeight="false" outlineLevel="0" collapsed="false">
      <c r="B2" s="1" t="s">
        <v>0</v>
      </c>
      <c r="C2" s="1"/>
      <c r="D2" s="1"/>
      <c r="E2" s="1"/>
    </row>
    <row r="3" customFormat="false" ht="13.8" hidden="false" customHeight="false" outlineLevel="0" collapsed="false">
      <c r="B3" s="1"/>
      <c r="C3" s="1"/>
      <c r="D3" s="1"/>
      <c r="E3" s="1"/>
    </row>
    <row r="5" customFormat="false" ht="13.8" hidden="false" customHeight="false" outlineLevel="0" collapsed="false">
      <c r="D5" s="2" t="s">
        <v>1</v>
      </c>
      <c r="E5" s="3" t="s">
        <v>2</v>
      </c>
      <c r="F5" s="3"/>
      <c r="G5" s="3"/>
      <c r="H5" s="3"/>
      <c r="I5" s="3"/>
      <c r="J5" s="3"/>
      <c r="K5" s="3"/>
      <c r="L5" s="3"/>
      <c r="M5" s="3"/>
      <c r="N5" s="4"/>
      <c r="O5" s="5" t="s">
        <v>3</v>
      </c>
      <c r="P5" s="6" t="s">
        <v>4</v>
      </c>
      <c r="Q5" s="6"/>
    </row>
    <row r="6" customFormat="false" ht="13.8" hidden="false" customHeight="false" outlineLevel="0" collapsed="false">
      <c r="R6" s="7" t="s">
        <v>5</v>
      </c>
    </row>
    <row r="7" customFormat="false" ht="13.8" hidden="false" customHeight="false" outlineLevel="0" collapsed="false">
      <c r="B7" s="8" t="s">
        <v>6</v>
      </c>
      <c r="C7" s="9"/>
      <c r="D7" s="10"/>
      <c r="E7" s="11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2" t="s">
        <v>18</v>
      </c>
      <c r="Q7" s="12" t="s">
        <v>19</v>
      </c>
      <c r="R7" s="12" t="s">
        <v>20</v>
      </c>
    </row>
    <row r="8" customFormat="false" ht="13.8" hidden="false" customHeight="false" outlineLevel="0" collapsed="false">
      <c r="B8" s="8"/>
      <c r="C8" s="13" t="s">
        <v>21</v>
      </c>
      <c r="D8" s="14" t="s">
        <v>22</v>
      </c>
      <c r="E8" s="15"/>
      <c r="F8" s="15"/>
      <c r="G8" s="15"/>
      <c r="H8" s="15"/>
      <c r="I8" s="15"/>
      <c r="J8" s="15"/>
      <c r="K8" s="15"/>
      <c r="L8" s="15"/>
      <c r="M8" s="15"/>
      <c r="N8" s="15" t="n">
        <v>3105000</v>
      </c>
      <c r="O8" s="15"/>
      <c r="P8" s="15"/>
      <c r="Q8" s="15"/>
      <c r="R8" s="15" t="n">
        <f aca="false">SUM(E8:Q8)</f>
        <v>3105000</v>
      </c>
    </row>
    <row r="9" customFormat="false" ht="13.8" hidden="false" customHeight="false" outlineLevel="0" collapsed="false">
      <c r="B9" s="8"/>
      <c r="C9" s="13" t="s">
        <v>23</v>
      </c>
      <c r="D9" s="16" t="s">
        <v>24</v>
      </c>
      <c r="E9" s="17"/>
      <c r="F9" s="17"/>
      <c r="G9" s="17"/>
      <c r="H9" s="17"/>
      <c r="I9" s="17" t="n">
        <v>150000</v>
      </c>
      <c r="J9" s="17" t="n">
        <v>125000</v>
      </c>
      <c r="K9" s="17" t="n">
        <v>125000</v>
      </c>
      <c r="L9" s="17"/>
      <c r="M9" s="17"/>
      <c r="N9" s="17"/>
      <c r="O9" s="17"/>
      <c r="P9" s="17"/>
      <c r="Q9" s="17" t="n">
        <v>300000</v>
      </c>
      <c r="R9" s="18" t="n">
        <f aca="false">SUM(E9:Q9)</f>
        <v>700000</v>
      </c>
    </row>
    <row r="10" customFormat="false" ht="13.8" hidden="false" customHeight="false" outlineLevel="0" collapsed="false">
      <c r="B10" s="8" t="s">
        <v>25</v>
      </c>
      <c r="C10" s="13" t="s">
        <v>26</v>
      </c>
      <c r="D10" s="19" t="s">
        <v>27</v>
      </c>
      <c r="E10" s="20" t="n">
        <v>0</v>
      </c>
      <c r="F10" s="20" t="n">
        <v>0</v>
      </c>
      <c r="G10" s="20" t="n">
        <v>0</v>
      </c>
      <c r="H10" s="20" t="n">
        <v>0</v>
      </c>
      <c r="I10" s="20"/>
      <c r="J10" s="20"/>
      <c r="K10" s="20"/>
      <c r="L10" s="20" t="n">
        <v>0</v>
      </c>
      <c r="M10" s="20" t="n">
        <v>0</v>
      </c>
      <c r="N10" s="20"/>
      <c r="O10" s="20" t="n">
        <v>0</v>
      </c>
      <c r="P10" s="20" t="n">
        <v>0</v>
      </c>
      <c r="Q10" s="20"/>
      <c r="R10" s="18" t="n">
        <f aca="false">SUM(E10:Q10)</f>
        <v>0</v>
      </c>
    </row>
    <row r="11" customFormat="false" ht="13.8" hidden="false" customHeight="false" outlineLevel="0" collapsed="false">
      <c r="B11" s="8"/>
      <c r="C11" s="13" t="s">
        <v>28</v>
      </c>
      <c r="D11" s="21" t="s">
        <v>29</v>
      </c>
      <c r="E11" s="22" t="n">
        <f aca="false">IF(AND(E8="",E9="",E10=""),"",SUM(E8:E10))</f>
        <v>0</v>
      </c>
      <c r="F11" s="22" t="n">
        <f aca="false">IF(AND(F8="",F9="",F10=""),"",SUM(F8:F10))</f>
        <v>0</v>
      </c>
      <c r="G11" s="22" t="n">
        <f aca="false">IF(AND(G8="",G9="",G10=""),"",SUM(G8:G10))</f>
        <v>0</v>
      </c>
      <c r="H11" s="22" t="n">
        <f aca="false">IF(AND(H8="",H9="",H10=""),"",SUM(H8:H10))</f>
        <v>0</v>
      </c>
      <c r="I11" s="22" t="n">
        <f aca="false">IF(AND(I8="",I9="",I10=""),"",SUM(I8:I10))</f>
        <v>150000</v>
      </c>
      <c r="J11" s="22" t="n">
        <f aca="false">IF(AND(J8="",J9="",J10=""),"",SUM(J8:J10))</f>
        <v>125000</v>
      </c>
      <c r="K11" s="22" t="n">
        <f aca="false">IF(AND(K8="",K9="",K10=""),"",SUM(K8:K10))</f>
        <v>125000</v>
      </c>
      <c r="L11" s="22" t="n">
        <f aca="false">IF(AND(L8="",L9="",L10=""),"",SUM(L8:L10))</f>
        <v>0</v>
      </c>
      <c r="M11" s="22" t="n">
        <f aca="false">IF(AND(M8="",M9="",M10=""),"",SUM(M8:M10))</f>
        <v>0</v>
      </c>
      <c r="N11" s="22" t="n">
        <f aca="false">IF(AND(N8="",N9="",N10=""),"",SUM(N8:N10))</f>
        <v>3105000</v>
      </c>
      <c r="O11" s="22" t="n">
        <f aca="false">IF(AND(O8="",O9="",O10=""),"",SUM(O8:O10))</f>
        <v>0</v>
      </c>
      <c r="P11" s="22" t="n">
        <f aca="false">IF(AND(P8="",P9="",P10=""),"",SUM(P8:P10))</f>
        <v>0</v>
      </c>
      <c r="Q11" s="22" t="n">
        <f aca="false">IF(AND(Q8="",Q9="",Q10=""),"",SUM(Q8:Q10))</f>
        <v>300000</v>
      </c>
      <c r="R11" s="22" t="n">
        <f aca="false">IF(AND(R8="",R9="",R10=""),"",SUM(R8:R10))</f>
        <v>3805000</v>
      </c>
    </row>
    <row r="12" customFormat="false" ht="13.8" hidden="false" customHeight="false" outlineLevel="0" collapsed="false">
      <c r="B12" s="8"/>
      <c r="C12" s="13" t="s">
        <v>30</v>
      </c>
      <c r="D12" s="23" t="s">
        <v>31</v>
      </c>
      <c r="E12" s="24"/>
      <c r="F12" s="24"/>
      <c r="G12" s="24"/>
      <c r="H12" s="24"/>
      <c r="I12" s="24"/>
      <c r="J12" s="24"/>
      <c r="K12" s="24" t="n">
        <v>420000</v>
      </c>
      <c r="L12" s="24" t="n">
        <v>420000</v>
      </c>
      <c r="M12" s="24" t="n">
        <v>420000</v>
      </c>
      <c r="N12" s="24" t="n">
        <v>2090000</v>
      </c>
      <c r="O12" s="24"/>
      <c r="P12" s="24"/>
      <c r="Q12" s="24"/>
      <c r="R12" s="24" t="n">
        <f aca="false">SUM(F12:Q12)</f>
        <v>3350000</v>
      </c>
    </row>
    <row r="13" customFormat="false" ht="13.8" hidden="false" customHeight="false" outlineLevel="0" collapsed="false">
      <c r="B13" s="8"/>
      <c r="C13" s="13"/>
      <c r="D13" s="16" t="s">
        <v>32</v>
      </c>
      <c r="E13" s="17" t="n">
        <v>73850</v>
      </c>
      <c r="F13" s="17"/>
      <c r="G13" s="17"/>
      <c r="H13" s="17"/>
      <c r="I13" s="17"/>
      <c r="J13" s="17"/>
      <c r="K13" s="17" t="n">
        <v>200000</v>
      </c>
      <c r="L13" s="17"/>
      <c r="M13" s="17"/>
      <c r="N13" s="17" t="n">
        <v>620000</v>
      </c>
      <c r="O13" s="17"/>
      <c r="P13" s="17"/>
      <c r="Q13" s="17"/>
      <c r="R13" s="18" t="n">
        <f aca="false">SUM(E13:Q13)</f>
        <v>893850</v>
      </c>
    </row>
    <row r="14" customFormat="false" ht="13.8" hidden="false" customHeight="false" outlineLevel="0" collapsed="false">
      <c r="B14" s="8"/>
      <c r="C14" s="13"/>
      <c r="D14" s="16" t="s">
        <v>33</v>
      </c>
      <c r="E14" s="17"/>
      <c r="F14" s="17"/>
      <c r="G14" s="17"/>
      <c r="H14" s="17"/>
      <c r="I14" s="17"/>
      <c r="J14" s="17"/>
      <c r="K14" s="17"/>
      <c r="L14" s="17"/>
      <c r="M14" s="17"/>
      <c r="N14" s="17" t="n">
        <v>456600</v>
      </c>
      <c r="O14" s="17"/>
      <c r="P14" s="17"/>
      <c r="Q14" s="17"/>
      <c r="R14" s="18" t="n">
        <f aca="false">SUM(F14:Q14)</f>
        <v>456600</v>
      </c>
    </row>
    <row r="15" customFormat="false" ht="13.8" hidden="false" customHeight="false" outlineLevel="0" collapsed="false">
      <c r="B15" s="8"/>
      <c r="C15" s="13"/>
      <c r="D15" s="16" t="s">
        <v>34</v>
      </c>
      <c r="E15" s="17"/>
      <c r="F15" s="17"/>
      <c r="G15" s="17"/>
      <c r="H15" s="17"/>
      <c r="I15" s="17"/>
      <c r="J15" s="17"/>
      <c r="K15" s="17" t="n">
        <v>30000</v>
      </c>
      <c r="L15" s="17" t="n">
        <v>30000</v>
      </c>
      <c r="M15" s="17" t="n">
        <v>30000</v>
      </c>
      <c r="N15" s="17"/>
      <c r="O15" s="17"/>
      <c r="P15" s="17"/>
      <c r="Q15" s="17"/>
      <c r="R15" s="18" t="n">
        <f aca="false">SUM(E15:Q15)</f>
        <v>90000</v>
      </c>
    </row>
    <row r="16" customFormat="false" ht="13.8" hidden="false" customHeight="false" outlineLevel="0" collapsed="false">
      <c r="B16" s="8"/>
      <c r="C16" s="13"/>
      <c r="D16" s="16" t="s">
        <v>35</v>
      </c>
      <c r="E16" s="17"/>
      <c r="F16" s="17"/>
      <c r="G16" s="17"/>
      <c r="H16" s="17"/>
      <c r="I16" s="17"/>
      <c r="J16" s="17"/>
      <c r="K16" s="17" t="n">
        <v>140000</v>
      </c>
      <c r="L16" s="17" t="n">
        <v>140000</v>
      </c>
      <c r="M16" s="17" t="n">
        <v>140000</v>
      </c>
      <c r="N16" s="17" t="n">
        <v>160000</v>
      </c>
      <c r="O16" s="17"/>
      <c r="P16" s="17"/>
      <c r="Q16" s="17"/>
      <c r="R16" s="18" t="n">
        <f aca="false">SUM(E16:Q16)</f>
        <v>580000</v>
      </c>
    </row>
    <row r="17" customFormat="false" ht="13.8" hidden="false" customHeight="false" outlineLevel="0" collapsed="false">
      <c r="B17" s="8"/>
      <c r="C17" s="13"/>
      <c r="D17" s="16" t="s">
        <v>36</v>
      </c>
      <c r="E17" s="17"/>
      <c r="F17" s="17"/>
      <c r="G17" s="17"/>
      <c r="H17" s="17"/>
      <c r="I17" s="17"/>
      <c r="J17" s="17"/>
      <c r="K17" s="17" t="n">
        <v>90000</v>
      </c>
      <c r="L17" s="17"/>
      <c r="M17" s="17"/>
      <c r="N17" s="17"/>
      <c r="O17" s="17"/>
      <c r="P17" s="17"/>
      <c r="Q17" s="17"/>
      <c r="R17" s="18" t="n">
        <f aca="false">SUM(E17:Q17)</f>
        <v>90000</v>
      </c>
    </row>
    <row r="18" customFormat="false" ht="13.8" hidden="false" customHeight="false" outlineLevel="0" collapsed="false">
      <c r="B18" s="8"/>
      <c r="C18" s="13"/>
      <c r="D18" s="16" t="s">
        <v>37</v>
      </c>
      <c r="E18" s="17"/>
      <c r="F18" s="17"/>
      <c r="G18" s="17"/>
      <c r="H18" s="17"/>
      <c r="I18" s="17"/>
      <c r="J18" s="17"/>
      <c r="K18" s="17" t="n">
        <v>20000</v>
      </c>
      <c r="L18" s="17" t="n">
        <v>20000</v>
      </c>
      <c r="M18" s="17" t="n">
        <v>20000</v>
      </c>
      <c r="N18" s="17" t="n">
        <v>192000</v>
      </c>
      <c r="O18" s="17"/>
      <c r="P18" s="17"/>
      <c r="Q18" s="17"/>
      <c r="R18" s="18" t="n">
        <f aca="false">SUM(E18:Q18)</f>
        <v>252000</v>
      </c>
    </row>
    <row r="19" customFormat="false" ht="13.8" hidden="false" customHeight="false" outlineLevel="0" collapsed="false">
      <c r="B19" s="8"/>
      <c r="C19" s="13"/>
      <c r="D19" s="16" t="s">
        <v>38</v>
      </c>
      <c r="E19" s="17" t="n">
        <v>4340</v>
      </c>
      <c r="F19" s="17"/>
      <c r="G19" s="17"/>
      <c r="H19" s="17"/>
      <c r="I19" s="17"/>
      <c r="J19" s="17"/>
      <c r="K19" s="17"/>
      <c r="L19" s="17"/>
      <c r="M19" s="17"/>
      <c r="N19" s="17" t="n">
        <f aca="false">N8/25</f>
        <v>124200</v>
      </c>
      <c r="O19" s="17"/>
      <c r="P19" s="17"/>
      <c r="Q19" s="17"/>
      <c r="R19" s="18" t="n">
        <f aca="false">SUM(E19:Q19)</f>
        <v>128540</v>
      </c>
    </row>
    <row r="20" customFormat="false" ht="13.8" hidden="false" customHeight="false" outlineLevel="0" collapsed="false">
      <c r="B20" s="8"/>
      <c r="C20" s="13"/>
      <c r="D20" s="25" t="s">
        <v>39</v>
      </c>
      <c r="E20" s="26" t="n">
        <v>114220</v>
      </c>
      <c r="F20" s="26" t="n">
        <v>5000</v>
      </c>
      <c r="G20" s="26" t="n">
        <v>5000</v>
      </c>
      <c r="H20" s="26" t="n">
        <v>5000</v>
      </c>
      <c r="I20" s="26"/>
      <c r="J20" s="26"/>
      <c r="K20" s="26" t="n">
        <f aca="false">K12/25</f>
        <v>16800</v>
      </c>
      <c r="L20" s="26" t="n">
        <f aca="false">L12/25</f>
        <v>16800</v>
      </c>
      <c r="M20" s="26" t="n">
        <f aca="false">M12/25</f>
        <v>16800</v>
      </c>
      <c r="N20" s="26" t="n">
        <f aca="false">N12/25</f>
        <v>83600</v>
      </c>
      <c r="O20" s="26"/>
      <c r="P20" s="26"/>
      <c r="Q20" s="26"/>
      <c r="R20" s="18" t="n">
        <f aca="false">SUM(E20:Q20)</f>
        <v>263220</v>
      </c>
    </row>
    <row r="21" customFormat="false" ht="13.8" hidden="false" customHeight="false" outlineLevel="0" collapsed="false">
      <c r="B21" s="8"/>
      <c r="C21" s="13" t="s">
        <v>40</v>
      </c>
      <c r="D21" s="23" t="s">
        <v>31</v>
      </c>
      <c r="E21" s="24"/>
      <c r="F21" s="24"/>
      <c r="G21" s="24"/>
      <c r="H21" s="24"/>
      <c r="I21" s="24" t="n">
        <v>175000</v>
      </c>
      <c r="J21" s="24" t="n">
        <v>140000</v>
      </c>
      <c r="K21" s="24" t="n">
        <v>169000</v>
      </c>
      <c r="L21" s="24"/>
      <c r="M21" s="24"/>
      <c r="N21" s="24"/>
      <c r="O21" s="24"/>
      <c r="P21" s="24" t="n">
        <v>40000</v>
      </c>
      <c r="Q21" s="24" t="n">
        <v>80000</v>
      </c>
      <c r="R21" s="24" t="n">
        <f aca="false">SUM(E21:Q21)</f>
        <v>604000</v>
      </c>
    </row>
    <row r="22" customFormat="false" ht="13.8" hidden="false" customHeight="false" outlineLevel="0" collapsed="false">
      <c r="B22" s="8" t="s">
        <v>23</v>
      </c>
      <c r="C22" s="13" t="s">
        <v>41</v>
      </c>
      <c r="D22" s="16" t="s">
        <v>32</v>
      </c>
      <c r="E22" s="17"/>
      <c r="F22" s="17"/>
      <c r="G22" s="17"/>
      <c r="H22" s="17"/>
      <c r="I22" s="17" t="n">
        <v>30000</v>
      </c>
      <c r="J22" s="17" t="n">
        <v>70000</v>
      </c>
      <c r="K22" s="17" t="n">
        <v>50000</v>
      </c>
      <c r="L22" s="17"/>
      <c r="M22" s="17"/>
      <c r="N22" s="17"/>
      <c r="O22" s="17"/>
      <c r="P22" s="17"/>
      <c r="Q22" s="17" t="n">
        <v>30000</v>
      </c>
      <c r="R22" s="24" t="n">
        <f aca="false">SUM(E22:Q22)</f>
        <v>180000</v>
      </c>
    </row>
    <row r="23" customFormat="false" ht="13.8" hidden="false" customHeight="false" outlineLevel="0" collapsed="false">
      <c r="B23" s="8"/>
      <c r="C23" s="13"/>
      <c r="D23" s="16" t="s">
        <v>33</v>
      </c>
      <c r="E23" s="17"/>
      <c r="F23" s="17"/>
      <c r="G23" s="17"/>
      <c r="H23" s="17"/>
      <c r="I23" s="17" t="n">
        <v>30000</v>
      </c>
      <c r="J23" s="17" t="n">
        <v>15000</v>
      </c>
      <c r="K23" s="17" t="n">
        <v>15000</v>
      </c>
      <c r="L23" s="17"/>
      <c r="M23" s="17"/>
      <c r="N23" s="17"/>
      <c r="O23" s="17"/>
      <c r="P23" s="17"/>
      <c r="Q23" s="17" t="n">
        <v>20000</v>
      </c>
      <c r="R23" s="24" t="n">
        <f aca="false">SUM(E23:Q23)</f>
        <v>80000</v>
      </c>
    </row>
    <row r="24" customFormat="false" ht="13.8" hidden="false" customHeight="false" outlineLevel="0" collapsed="false">
      <c r="B24" s="8"/>
      <c r="C24" s="13" t="s">
        <v>42</v>
      </c>
      <c r="D24" s="16" t="s">
        <v>34</v>
      </c>
      <c r="E24" s="17"/>
      <c r="F24" s="17"/>
      <c r="G24" s="17"/>
      <c r="H24" s="17"/>
      <c r="I24" s="17" t="n">
        <v>10000</v>
      </c>
      <c r="J24" s="17" t="n">
        <v>5000</v>
      </c>
      <c r="K24" s="17" t="n">
        <v>5000</v>
      </c>
      <c r="L24" s="17"/>
      <c r="M24" s="17"/>
      <c r="N24" s="17"/>
      <c r="O24" s="17"/>
      <c r="P24" s="17"/>
      <c r="Q24" s="17"/>
      <c r="R24" s="24" t="n">
        <f aca="false">SUM(E24:Q24)</f>
        <v>20000</v>
      </c>
    </row>
    <row r="25" customFormat="false" ht="13.8" hidden="false" customHeight="false" outlineLevel="0" collapsed="false">
      <c r="B25" s="8" t="s">
        <v>43</v>
      </c>
      <c r="C25" s="13"/>
      <c r="D25" s="16" t="s">
        <v>35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 t="n">
        <v>40000</v>
      </c>
      <c r="R25" s="24" t="n">
        <f aca="false">SUM(E25:Q25)</f>
        <v>40000</v>
      </c>
    </row>
    <row r="26" customFormat="false" ht="13.8" hidden="false" customHeight="false" outlineLevel="0" collapsed="false">
      <c r="B26" s="8"/>
      <c r="C26" s="13" t="s">
        <v>26</v>
      </c>
      <c r="D26" s="16" t="s">
        <v>36</v>
      </c>
      <c r="E26" s="17"/>
      <c r="F26" s="17"/>
      <c r="G26" s="17"/>
      <c r="H26" s="17"/>
      <c r="I26" s="17" t="n">
        <v>5000</v>
      </c>
      <c r="J26" s="17" t="n">
        <v>5000</v>
      </c>
      <c r="K26" s="17" t="n">
        <v>5000</v>
      </c>
      <c r="L26" s="17"/>
      <c r="M26" s="17"/>
      <c r="N26" s="17"/>
      <c r="O26" s="17"/>
      <c r="P26" s="17"/>
      <c r="Q26" s="17" t="n">
        <v>5000</v>
      </c>
      <c r="R26" s="24" t="n">
        <f aca="false">SUM(E26:Q26)</f>
        <v>20000</v>
      </c>
    </row>
    <row r="27" customFormat="false" ht="13.8" hidden="false" customHeight="false" outlineLevel="0" collapsed="false">
      <c r="B27" s="8"/>
      <c r="C27" s="13"/>
      <c r="D27" s="16" t="s">
        <v>37</v>
      </c>
      <c r="E27" s="17"/>
      <c r="F27" s="17"/>
      <c r="G27" s="17"/>
      <c r="H27" s="17"/>
      <c r="I27" s="17" t="n">
        <v>7500</v>
      </c>
      <c r="J27" s="17" t="n">
        <v>9000</v>
      </c>
      <c r="K27" s="17" t="n">
        <v>12000</v>
      </c>
      <c r="L27" s="17"/>
      <c r="M27" s="17"/>
      <c r="N27" s="17"/>
      <c r="O27" s="17"/>
      <c r="P27" s="17" t="n">
        <v>15000</v>
      </c>
      <c r="Q27" s="17" t="n">
        <v>15000</v>
      </c>
      <c r="R27" s="24" t="n">
        <f aca="false">SUM(E27:Q27)</f>
        <v>58500</v>
      </c>
    </row>
    <row r="28" customFormat="false" ht="13.8" hidden="false" customHeight="false" outlineLevel="0" collapsed="false">
      <c r="B28" s="8" t="s">
        <v>44</v>
      </c>
      <c r="C28" s="13" t="s">
        <v>28</v>
      </c>
      <c r="D28" s="16" t="s">
        <v>38</v>
      </c>
      <c r="E28" s="17"/>
      <c r="F28" s="17"/>
      <c r="G28" s="17"/>
      <c r="H28" s="17"/>
      <c r="I28" s="17" t="n">
        <f aca="false">I9/25</f>
        <v>6000</v>
      </c>
      <c r="J28" s="17" t="n">
        <f aca="false">J9/25</f>
        <v>5000</v>
      </c>
      <c r="K28" s="17" t="n">
        <f aca="false">K9/25</f>
        <v>5000</v>
      </c>
      <c r="L28" s="17"/>
      <c r="M28" s="17"/>
      <c r="N28" s="17"/>
      <c r="O28" s="17"/>
      <c r="P28" s="17"/>
      <c r="Q28" s="17" t="n">
        <f aca="false">Q9/25</f>
        <v>12000</v>
      </c>
      <c r="R28" s="24" t="n">
        <f aca="false">SUM(E28:Q28)</f>
        <v>28000</v>
      </c>
    </row>
    <row r="29" customFormat="false" ht="13.8" hidden="false" customHeight="false" outlineLevel="0" collapsed="false">
      <c r="B29" s="8"/>
      <c r="C29" s="13"/>
      <c r="D29" s="25" t="s">
        <v>39</v>
      </c>
      <c r="E29" s="26"/>
      <c r="F29" s="26"/>
      <c r="G29" s="26"/>
      <c r="H29" s="26"/>
      <c r="I29" s="26" t="n">
        <f aca="false">I21/25</f>
        <v>7000</v>
      </c>
      <c r="J29" s="26" t="n">
        <f aca="false">J21/25</f>
        <v>5600</v>
      </c>
      <c r="K29" s="26" t="n">
        <f aca="false">K21/25</f>
        <v>6760</v>
      </c>
      <c r="L29" s="26"/>
      <c r="M29" s="26"/>
      <c r="N29" s="26"/>
      <c r="O29" s="26"/>
      <c r="P29" s="26" t="n">
        <f aca="false">P21/25</f>
        <v>1600</v>
      </c>
      <c r="Q29" s="26" t="n">
        <f aca="false">Q21/25</f>
        <v>3200</v>
      </c>
      <c r="R29" s="24" t="n">
        <f aca="false">SUM(E29:Q29)</f>
        <v>24160</v>
      </c>
    </row>
    <row r="30" customFormat="false" ht="13.8" hidden="false" customHeight="false" outlineLevel="0" collapsed="false">
      <c r="B30" s="8"/>
      <c r="C30" s="27"/>
      <c r="D30" s="21" t="s">
        <v>45</v>
      </c>
      <c r="E30" s="28" t="n">
        <f aca="false">SUM(E12:E29)</f>
        <v>192410</v>
      </c>
      <c r="F30" s="28" t="n">
        <f aca="false">SUM(F12:F29)</f>
        <v>5000</v>
      </c>
      <c r="G30" s="28" t="n">
        <f aca="false">SUM(G12:G29)</f>
        <v>5000</v>
      </c>
      <c r="H30" s="28" t="n">
        <f aca="false">SUM(H12:H29)</f>
        <v>5000</v>
      </c>
      <c r="I30" s="28" t="n">
        <f aca="false">SUM(I12:I29)</f>
        <v>270500</v>
      </c>
      <c r="J30" s="28" t="n">
        <f aca="false">SUM(J12:J29)</f>
        <v>254600</v>
      </c>
      <c r="K30" s="28" t="n">
        <f aca="false">SUM(K12:K29)</f>
        <v>1184560</v>
      </c>
      <c r="L30" s="28" t="n">
        <f aca="false">SUM(L12:L29)</f>
        <v>626800</v>
      </c>
      <c r="M30" s="28" t="n">
        <f aca="false">SUM(M12:M29)</f>
        <v>626800</v>
      </c>
      <c r="N30" s="28" t="n">
        <f aca="false">SUM(N12:N29)</f>
        <v>3726400</v>
      </c>
      <c r="O30" s="28" t="n">
        <f aca="false">SUM(O12:O29)</f>
        <v>0</v>
      </c>
      <c r="P30" s="28" t="n">
        <f aca="false">SUM(P12:P29)</f>
        <v>56600</v>
      </c>
      <c r="Q30" s="28" t="n">
        <f aca="false">SUM(Q12:Q29)</f>
        <v>205200</v>
      </c>
      <c r="R30" s="28" t="n">
        <f aca="false">SUM(R12:R29)</f>
        <v>7158870</v>
      </c>
    </row>
    <row r="31" customFormat="false" ht="13.8" hidden="false" customHeight="false" outlineLevel="0" collapsed="false">
      <c r="B31" s="8" t="s">
        <v>46</v>
      </c>
      <c r="C31" s="29" t="s">
        <v>47</v>
      </c>
      <c r="D31" s="29"/>
      <c r="E31" s="30" t="n">
        <f aca="false">IF(AND(E11="",E30=""),"",E11-E30)</f>
        <v>-192410</v>
      </c>
      <c r="F31" s="30" t="n">
        <f aca="false">IF(AND(F11="",F30=""),"",F11-F30)</f>
        <v>-5000</v>
      </c>
      <c r="G31" s="30" t="n">
        <f aca="false">IF(AND(G11="",G30=""),"",G11-G30)</f>
        <v>-5000</v>
      </c>
      <c r="H31" s="30" t="n">
        <f aca="false">IF(AND(H11="",H30=""),"",H11-H30)</f>
        <v>-5000</v>
      </c>
      <c r="I31" s="30" t="n">
        <f aca="false">IF(AND(I11="",I30=""),"",I11-I30)</f>
        <v>-120500</v>
      </c>
      <c r="J31" s="30" t="n">
        <f aca="false">IF(AND(J11="",J30=""),"",J11-J30)</f>
        <v>-129600</v>
      </c>
      <c r="K31" s="30" t="n">
        <f aca="false">IF(AND(K11="",K30=""),"",K11-K30)</f>
        <v>-1059560</v>
      </c>
      <c r="L31" s="30" t="n">
        <f aca="false">IF(AND(L11="",L30=""),"",L11-L30)</f>
        <v>-626800</v>
      </c>
      <c r="M31" s="30" t="n">
        <f aca="false">IF(AND(M11="",M30=""),"",M11-M30)</f>
        <v>-626800</v>
      </c>
      <c r="N31" s="30" t="n">
        <f aca="false">IF(AND(N11="",N30=""),"",N11-N30)</f>
        <v>-621400</v>
      </c>
      <c r="O31" s="30" t="n">
        <f aca="false">IF(AND(O11="",O30=""),"",O11-O30)</f>
        <v>0</v>
      </c>
      <c r="P31" s="30" t="n">
        <f aca="false">IF(AND(P11="",P30=""),"",P11-P30)</f>
        <v>-56600</v>
      </c>
      <c r="Q31" s="30" t="n">
        <f aca="false">IF(AND(Q11="",Q30=""),"",Q11-Q30)</f>
        <v>94800</v>
      </c>
      <c r="R31" s="30" t="n">
        <f aca="false">IF(AND(R11="",R30=""),"",R11-R30)</f>
        <v>-3353870</v>
      </c>
    </row>
    <row r="32" customFormat="false" ht="13.8" hidden="false" customHeight="false" outlineLevel="0" collapsed="false">
      <c r="B32" s="8"/>
      <c r="C32" s="31" t="s">
        <v>48</v>
      </c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customFormat="false" ht="13.8" hidden="false" customHeight="false" outlineLevel="0" collapsed="false">
      <c r="B33" s="8"/>
      <c r="C33" s="31" t="s">
        <v>49</v>
      </c>
      <c r="D33" s="31"/>
      <c r="E33" s="32" t="n">
        <f aca="false">IF(AND(E31="",E32=""),"",E31+E32)</f>
        <v>-192410</v>
      </c>
      <c r="F33" s="32" t="n">
        <f aca="false">IF(AND(F31="",F32=""),"",F31+F32)</f>
        <v>-5000</v>
      </c>
      <c r="G33" s="32" t="n">
        <f aca="false">IF(AND(G31="",G32=""),"",G31+G32)</f>
        <v>-5000</v>
      </c>
      <c r="H33" s="32" t="n">
        <f aca="false">IF(AND(H31="",H32=""),"",H31+H32)</f>
        <v>-5000</v>
      </c>
      <c r="I33" s="32" t="n">
        <f aca="false">IF(AND(I31="",I32=""),"",I31+I32)</f>
        <v>-120500</v>
      </c>
      <c r="J33" s="32" t="n">
        <f aca="false">IF(AND(J31="",J32=""),"",J31+J32)</f>
        <v>-129600</v>
      </c>
      <c r="K33" s="32" t="n">
        <f aca="false">IF(AND(K31="",K32=""),"",K31+K32)</f>
        <v>-1059560</v>
      </c>
      <c r="L33" s="32" t="n">
        <f aca="false">IF(AND(L31="",L32=""),"",L31+L32)</f>
        <v>-626800</v>
      </c>
      <c r="M33" s="32" t="n">
        <f aca="false">IF(AND(M31="",M32=""),"",M31+M32)</f>
        <v>-626800</v>
      </c>
      <c r="N33" s="32" t="n">
        <f aca="false">IF(AND(N31="",N32=""),"",N31+N32)</f>
        <v>-621400</v>
      </c>
      <c r="O33" s="32" t="n">
        <f aca="false">IF(AND(O31="",O32=""),"",O31+O32)</f>
        <v>0</v>
      </c>
      <c r="P33" s="32" t="n">
        <f aca="false">IF(AND(P31="",P32=""),"",P31+P32)</f>
        <v>-56600</v>
      </c>
      <c r="Q33" s="32" t="n">
        <f aca="false">IF(AND(Q31="",Q32=""),"",Q31+Q32)</f>
        <v>94800</v>
      </c>
      <c r="R33" s="32" t="n">
        <f aca="false">IF(AND(R31="",R32=""),"",R31+R32)</f>
        <v>-3353870</v>
      </c>
    </row>
    <row r="34" customFormat="false" ht="13.8" hidden="false" customHeight="false" outlineLevel="0" collapsed="false">
      <c r="B34" s="8"/>
      <c r="C34" s="31" t="s">
        <v>50</v>
      </c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customFormat="false" ht="13.8" hidden="false" customHeight="false" outlineLevel="0" collapsed="false">
      <c r="B35" s="8"/>
      <c r="C35" s="31" t="s">
        <v>51</v>
      </c>
      <c r="D35" s="31"/>
      <c r="E35" s="32" t="n">
        <f aca="false">IF(AND(E33="",E34=""),"",E33-E34)</f>
        <v>-192410</v>
      </c>
      <c r="F35" s="32" t="n">
        <f aca="false">IF(AND(F33="",F34=""),"",F33-F34)</f>
        <v>-5000</v>
      </c>
      <c r="G35" s="32" t="n">
        <f aca="false">IF(AND(G33="",G34=""),"",G33-G34)</f>
        <v>-5000</v>
      </c>
      <c r="H35" s="32" t="n">
        <f aca="false">IF(AND(H33="",H34=""),"",H33-H34)</f>
        <v>-5000</v>
      </c>
      <c r="I35" s="32" t="n">
        <f aca="false">IF(AND(I33="",I34=""),"",I33-I34)</f>
        <v>-120500</v>
      </c>
      <c r="J35" s="32" t="n">
        <f aca="false">IF(AND(J33="",J34=""),"",J33-J34)</f>
        <v>-129600</v>
      </c>
      <c r="K35" s="32" t="n">
        <f aca="false">IF(AND(K33="",K34=""),"",K33-K34)</f>
        <v>-1059560</v>
      </c>
      <c r="L35" s="32" t="n">
        <f aca="false">IF(AND(L33="",L34=""),"",L33-L34)</f>
        <v>-626800</v>
      </c>
      <c r="M35" s="32" t="n">
        <f aca="false">IF(AND(M33="",M34=""),"",M33-M34)</f>
        <v>-626800</v>
      </c>
      <c r="N35" s="32" t="n">
        <f aca="false">IF(AND(N33="",N34=""),"",N33-N34)</f>
        <v>-621400</v>
      </c>
      <c r="O35" s="32" t="n">
        <f aca="false">IF(AND(O33="",O34=""),"",O33-O34)</f>
        <v>0</v>
      </c>
      <c r="P35" s="32" t="n">
        <f aca="false">IF(AND(P33="",P34=""),"",P33-P34)</f>
        <v>-56600</v>
      </c>
      <c r="Q35" s="32" t="n">
        <f aca="false">IF(AND(Q33="",Q34=""),"",Q33-Q34)</f>
        <v>94800</v>
      </c>
      <c r="R35" s="32" t="n">
        <f aca="false">IF(AND(R33="",R34=""),"",R33-R34)</f>
        <v>-3353870</v>
      </c>
    </row>
  </sheetData>
  <mergeCells count="12">
    <mergeCell ref="B2:E3"/>
    <mergeCell ref="E5:M5"/>
    <mergeCell ref="P5:Q5"/>
    <mergeCell ref="B7:B35"/>
    <mergeCell ref="C8:C11"/>
    <mergeCell ref="C12:C20"/>
    <mergeCell ref="C21:C29"/>
    <mergeCell ref="C31:D31"/>
    <mergeCell ref="C32:D32"/>
    <mergeCell ref="C33:D33"/>
    <mergeCell ref="C34:D34"/>
    <mergeCell ref="C35:D3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7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546875" defaultRowHeight="24" zeroHeight="false" outlineLevelRow="0" outlineLevelCol="0"/>
  <cols>
    <col collapsed="false" customWidth="true" hidden="false" outlineLevel="0" max="2" min="2" style="0" width="16.89"/>
    <col collapsed="false" customWidth="true" hidden="false" outlineLevel="0" max="8" min="8" style="0" width="9.76"/>
  </cols>
  <sheetData>
    <row r="1" customFormat="false" ht="24" hidden="false" customHeight="true" outlineLevel="0" collapsed="false">
      <c r="A1" s="33" t="s">
        <v>52</v>
      </c>
      <c r="B1" s="33"/>
      <c r="G1" s="34" t="n">
        <f aca="false">+VALUE(C5&amp;"/"&amp;E5&amp;"/"&amp;"1")</f>
        <v>44652</v>
      </c>
    </row>
    <row r="2" customFormat="false" ht="24" hidden="false" customHeight="true" outlineLevel="0" collapsed="false">
      <c r="A2" s="35" t="s">
        <v>53</v>
      </c>
      <c r="B2" s="35"/>
    </row>
    <row r="3" customFormat="false" ht="24" hidden="false" customHeight="true" outlineLevel="0" collapsed="false">
      <c r="A3" s="35"/>
      <c r="B3" s="35"/>
    </row>
    <row r="4" customFormat="false" ht="24" hidden="false" customHeight="true" outlineLevel="0" collapsed="false">
      <c r="B4" s="36" t="s">
        <v>54</v>
      </c>
      <c r="C4" s="37" t="n">
        <v>4</v>
      </c>
      <c r="D4" s="38" t="s">
        <v>55</v>
      </c>
      <c r="E4" s="39" t="s">
        <v>56</v>
      </c>
      <c r="F4" s="40" t="n">
        <v>12</v>
      </c>
      <c r="G4" s="41" t="s">
        <v>55</v>
      </c>
    </row>
    <row r="5" customFormat="false" ht="24" hidden="false" customHeight="true" outlineLevel="0" collapsed="false">
      <c r="B5" s="36" t="s">
        <v>57</v>
      </c>
      <c r="C5" s="37" t="n">
        <v>2022</v>
      </c>
      <c r="D5" s="38" t="s">
        <v>58</v>
      </c>
      <c r="E5" s="40" t="n">
        <v>4</v>
      </c>
      <c r="F5" s="41" t="s">
        <v>55</v>
      </c>
      <c r="G5" s="42"/>
    </row>
    <row r="6" customFormat="false" ht="24" hidden="false" customHeight="true" outlineLevel="0" collapsed="false">
      <c r="B6" s="36" t="s">
        <v>59</v>
      </c>
      <c r="C6" s="43" t="n">
        <v>8</v>
      </c>
      <c r="D6" s="41" t="s">
        <v>60</v>
      </c>
      <c r="E6" s="44"/>
      <c r="F6" s="45"/>
      <c r="G6" s="46"/>
    </row>
    <row r="8" customFormat="false" ht="24" hidden="false" customHeight="true" outlineLevel="0" collapsed="false">
      <c r="B8" s="36" t="s">
        <v>61</v>
      </c>
      <c r="C8" s="47" t="s">
        <v>62</v>
      </c>
      <c r="D8" s="47"/>
      <c r="E8" s="47"/>
      <c r="F8" s="47"/>
      <c r="G8" s="47"/>
    </row>
  </sheetData>
  <mergeCells count="3">
    <mergeCell ref="A1:B1"/>
    <mergeCell ref="A2:B3"/>
    <mergeCell ref="C8:G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R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3.12890625" defaultRowHeight="15" zeroHeight="false" outlineLevelRow="0" outlineLevelCol="0"/>
  <cols>
    <col collapsed="false" customWidth="true" hidden="false" outlineLevel="0" max="44" min="1" style="48" width="3.25"/>
    <col collapsed="false" customWidth="false" hidden="false" outlineLevel="0" max="1024" min="45" style="48" width="3.13"/>
  </cols>
  <sheetData>
    <row r="1" customFormat="false" ht="15" hidden="false" customHeight="true" outlineLevel="0" collapsed="false">
      <c r="A1" s="49" t="s">
        <v>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</row>
    <row r="2" customFormat="false" ht="15" hidden="false" customHeight="true" outlineLevel="0" collapsed="false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</row>
    <row r="3" customFormat="false" ht="15" hidden="false" customHeight="true" outlineLevel="0" collapsed="false">
      <c r="A3" s="50" t="s">
        <v>64</v>
      </c>
      <c r="B3" s="50"/>
      <c r="C3" s="50"/>
      <c r="D3" s="50" t="s">
        <v>65</v>
      </c>
      <c r="E3" s="50"/>
      <c r="F3" s="50"/>
      <c r="G3" s="50" t="s">
        <v>66</v>
      </c>
      <c r="H3" s="50"/>
      <c r="I3" s="50"/>
      <c r="J3" s="50"/>
      <c r="K3" s="50"/>
      <c r="L3" s="50"/>
      <c r="M3" s="50"/>
      <c r="N3" s="50"/>
      <c r="O3" s="50" t="s">
        <v>67</v>
      </c>
      <c r="P3" s="50"/>
      <c r="Q3" s="50"/>
      <c r="R3" s="50"/>
      <c r="S3" s="50"/>
      <c r="T3" s="50"/>
      <c r="U3" s="50" t="s">
        <v>68</v>
      </c>
      <c r="V3" s="50"/>
      <c r="W3" s="50"/>
      <c r="X3" s="50"/>
      <c r="Y3" s="50" t="s">
        <v>69</v>
      </c>
      <c r="Z3" s="50"/>
      <c r="AA3" s="50"/>
      <c r="AB3" s="50"/>
      <c r="AC3" s="50"/>
      <c r="AD3" s="50"/>
      <c r="AE3" s="50"/>
      <c r="AF3" s="50"/>
      <c r="AG3" s="50"/>
      <c r="AH3" s="50"/>
      <c r="AI3" s="50" t="s">
        <v>70</v>
      </c>
      <c r="AJ3" s="50"/>
      <c r="AK3" s="50"/>
      <c r="AL3" s="50"/>
      <c r="AM3" s="50"/>
      <c r="AN3" s="50"/>
      <c r="AO3" s="50"/>
      <c r="AP3" s="50"/>
      <c r="AQ3" s="50"/>
      <c r="AR3" s="50"/>
    </row>
    <row r="4" customFormat="false" ht="15" hidden="false" customHeight="true" outlineLevel="0" collapsed="false">
      <c r="A4" s="51" t="s">
        <v>71</v>
      </c>
      <c r="B4" s="51"/>
      <c r="C4" s="51"/>
      <c r="D4" s="51"/>
      <c r="E4" s="51"/>
      <c r="F4" s="51"/>
      <c r="G4" s="51" t="s">
        <v>72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 t="s">
        <v>73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</row>
    <row r="5" customFormat="false" ht="15" hidden="false" customHeight="true" outlineLevel="0" collapsed="false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</row>
    <row r="6" customFormat="false" ht="15" hidden="false" customHeight="true" outlineLevel="0" collapsed="false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</row>
    <row r="7" customFormat="false" ht="15" hidden="false" customHeight="true" outlineLevel="0" collapsed="false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</row>
    <row r="8" customFormat="false" ht="15" hidden="false" customHeight="true" outlineLevel="0" collapsed="false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</row>
    <row r="9" customFormat="false" ht="15" hidden="false" customHeight="true" outlineLevel="0" collapsed="false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</row>
    <row r="10" customFormat="false" ht="15" hidden="false" customHeight="true" outlineLevel="0" collapsed="false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</row>
    <row r="11" customFormat="false" ht="15" hidden="false" customHeight="true" outlineLevel="0" collapsed="false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</row>
    <row r="12" customFormat="false" ht="15" hidden="false" customHeight="true" outlineLevel="0" collapsed="false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</row>
    <row r="15" customFormat="false" ht="15" hidden="false" customHeight="true" outlineLevel="0" collapsed="false">
      <c r="A15" s="49" t="s">
        <v>74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</row>
    <row r="16" customFormat="false" ht="15" hidden="false" customHeight="true" outlineLevel="0" collapsed="false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</row>
    <row r="17" customFormat="false" ht="15" hidden="false" customHeight="true" outlineLevel="0" collapsed="false">
      <c r="A17" s="52" t="s">
        <v>75</v>
      </c>
      <c r="B17" s="52"/>
      <c r="C17" s="52"/>
      <c r="D17" s="52"/>
      <c r="E17" s="52"/>
      <c r="F17" s="52"/>
      <c r="G17" s="52" t="s">
        <v>76</v>
      </c>
      <c r="H17" s="52"/>
      <c r="I17" s="52"/>
      <c r="J17" s="52"/>
      <c r="K17" s="52"/>
      <c r="L17" s="52"/>
      <c r="M17" s="52" t="s">
        <v>77</v>
      </c>
      <c r="N17" s="52"/>
      <c r="O17" s="52"/>
      <c r="P17" s="52"/>
      <c r="Q17" s="52"/>
      <c r="R17" s="52"/>
    </row>
    <row r="18" customFormat="false" ht="15" hidden="false" customHeight="true" outlineLevel="0" collapsed="false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customFormat="false" ht="15" hidden="false" customHeight="true" outlineLevel="0" collapsed="false">
      <c r="A19" s="53" t="n">
        <v>0</v>
      </c>
      <c r="B19" s="53"/>
      <c r="C19" s="53"/>
      <c r="D19" s="53"/>
      <c r="E19" s="53"/>
      <c r="F19" s="54" t="s">
        <v>78</v>
      </c>
      <c r="G19" s="55" t="s">
        <v>79</v>
      </c>
      <c r="H19" s="55"/>
      <c r="I19" s="55"/>
      <c r="J19" s="55"/>
      <c r="K19" s="55"/>
      <c r="L19" s="55"/>
      <c r="M19" s="55" t="s">
        <v>79</v>
      </c>
      <c r="N19" s="55"/>
      <c r="O19" s="55"/>
      <c r="P19" s="55"/>
      <c r="Q19" s="55"/>
      <c r="R19" s="55"/>
    </row>
    <row r="22" customFormat="false" ht="15" hidden="false" customHeight="true" outlineLevel="0" collapsed="false">
      <c r="A22" s="56" t="s">
        <v>80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</row>
    <row r="23" customFormat="false" ht="15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</row>
    <row r="24" customFormat="false" ht="15" hidden="false" customHeight="true" outlineLevel="0" collapsed="false">
      <c r="A24" s="57" t="s">
        <v>81</v>
      </c>
      <c r="B24" s="57"/>
      <c r="C24" s="57"/>
      <c r="D24" s="57"/>
      <c r="E24" s="57"/>
      <c r="F24" s="57"/>
    </row>
    <row r="25" customFormat="false" ht="15" hidden="false" customHeight="true" outlineLevel="0" collapsed="false">
      <c r="A25" s="57"/>
      <c r="B25" s="57"/>
      <c r="C25" s="57"/>
      <c r="D25" s="57"/>
      <c r="E25" s="57"/>
      <c r="F25" s="57"/>
    </row>
    <row r="26" customFormat="false" ht="15" hidden="false" customHeight="true" outlineLevel="0" collapsed="false">
      <c r="A26" s="58" t="n">
        <v>60</v>
      </c>
      <c r="B26" s="58"/>
      <c r="C26" s="58"/>
      <c r="D26" s="58"/>
      <c r="E26" s="59" t="s">
        <v>82</v>
      </c>
      <c r="F26" s="59"/>
    </row>
  </sheetData>
  <mergeCells count="82">
    <mergeCell ref="A1:AR2"/>
    <mergeCell ref="A3:C3"/>
    <mergeCell ref="D3:F3"/>
    <mergeCell ref="G3:N3"/>
    <mergeCell ref="O3:T3"/>
    <mergeCell ref="U3:X3"/>
    <mergeCell ref="Y3:AH3"/>
    <mergeCell ref="AI3:AR3"/>
    <mergeCell ref="A4:C4"/>
    <mergeCell ref="D4:F4"/>
    <mergeCell ref="G4:N4"/>
    <mergeCell ref="O4:T4"/>
    <mergeCell ref="U4:X4"/>
    <mergeCell ref="Y4:AH4"/>
    <mergeCell ref="AI4:AR4"/>
    <mergeCell ref="A5:C5"/>
    <mergeCell ref="D5:F5"/>
    <mergeCell ref="G5:N5"/>
    <mergeCell ref="O5:T5"/>
    <mergeCell ref="U5:X5"/>
    <mergeCell ref="Y5:AH5"/>
    <mergeCell ref="AI5:AR5"/>
    <mergeCell ref="A6:C6"/>
    <mergeCell ref="D6:F6"/>
    <mergeCell ref="G6:N6"/>
    <mergeCell ref="O6:T6"/>
    <mergeCell ref="U6:X6"/>
    <mergeCell ref="Y6:AH6"/>
    <mergeCell ref="AI6:AR6"/>
    <mergeCell ref="A7:C7"/>
    <mergeCell ref="D7:F7"/>
    <mergeCell ref="G7:N7"/>
    <mergeCell ref="O7:T7"/>
    <mergeCell ref="U7:X7"/>
    <mergeCell ref="Y7:AH7"/>
    <mergeCell ref="AI7:AR7"/>
    <mergeCell ref="A8:C8"/>
    <mergeCell ref="D8:F8"/>
    <mergeCell ref="G8:N8"/>
    <mergeCell ref="O8:T8"/>
    <mergeCell ref="U8:X8"/>
    <mergeCell ref="Y8:AH8"/>
    <mergeCell ref="AI8:AR8"/>
    <mergeCell ref="A9:C9"/>
    <mergeCell ref="D9:F9"/>
    <mergeCell ref="G9:N9"/>
    <mergeCell ref="O9:T9"/>
    <mergeCell ref="U9:X9"/>
    <mergeCell ref="Y9:AH9"/>
    <mergeCell ref="AI9:AR9"/>
    <mergeCell ref="A10:C10"/>
    <mergeCell ref="D10:F10"/>
    <mergeCell ref="G10:N10"/>
    <mergeCell ref="O10:T10"/>
    <mergeCell ref="U10:X10"/>
    <mergeCell ref="Y10:AH10"/>
    <mergeCell ref="AI10:AR10"/>
    <mergeCell ref="A11:C11"/>
    <mergeCell ref="D11:F11"/>
    <mergeCell ref="G11:N11"/>
    <mergeCell ref="O11:T11"/>
    <mergeCell ref="U11:X11"/>
    <mergeCell ref="Y11:AH11"/>
    <mergeCell ref="AI11:AR11"/>
    <mergeCell ref="A12:C12"/>
    <mergeCell ref="D12:F12"/>
    <mergeCell ref="G12:N12"/>
    <mergeCell ref="O12:T12"/>
    <mergeCell ref="U12:X12"/>
    <mergeCell ref="Y12:AH12"/>
    <mergeCell ref="AI12:AR12"/>
    <mergeCell ref="A15:AR16"/>
    <mergeCell ref="A17:F18"/>
    <mergeCell ref="G17:L18"/>
    <mergeCell ref="M17:R18"/>
    <mergeCell ref="A19:E19"/>
    <mergeCell ref="G19:L19"/>
    <mergeCell ref="M19:R19"/>
    <mergeCell ref="A22:AR23"/>
    <mergeCell ref="A24:F25"/>
    <mergeCell ref="A26:D26"/>
    <mergeCell ref="E26:F26"/>
  </mergeCells>
  <conditionalFormatting sqref="G19">
    <cfRule type="expression" priority="2" aboveAverage="0" equalAverage="0" bottom="0" percent="0" rank="0" text="" dxfId="0">
      <formula>$G$19=""</formula>
    </cfRule>
  </conditionalFormatting>
  <conditionalFormatting sqref="M19">
    <cfRule type="expression" priority="3" aboveAverage="0" equalAverage="0" bottom="0" percent="0" rank="0" text="" dxfId="1">
      <formula>AND($G$19="有",$M$19="")</formula>
    </cfRule>
  </conditionalFormatting>
  <conditionalFormatting sqref="A19">
    <cfRule type="expression" priority="4" aboveAverage="0" equalAverage="0" bottom="0" percent="0" rank="0" text="" dxfId="2">
      <formula>$A$19=""</formula>
    </cfRule>
  </conditionalFormatting>
  <conditionalFormatting sqref="A26">
    <cfRule type="expression" priority="5" aboveAverage="0" equalAverage="0" bottom="0" percent="0" rank="0" text="" dxfId="3">
      <formula>AND($G$19="有",$A$26="")</formula>
    </cfRule>
  </conditionalFormatting>
  <conditionalFormatting sqref="A22:AR23">
    <cfRule type="expression" priority="6" aboveAverage="0" equalAverage="0" bottom="0" percent="0" rank="0" text="" dxfId="4">
      <formula>$G$19="有"</formula>
    </cfRule>
  </conditionalFormatting>
  <conditionalFormatting sqref="A24:F25">
    <cfRule type="expression" priority="7" aboveAverage="0" equalAverage="0" bottom="0" percent="0" rank="0" text="" dxfId="5">
      <formula>$G$19="有"</formula>
    </cfRule>
  </conditionalFormatting>
  <conditionalFormatting sqref="A26:F26">
    <cfRule type="expression" priority="8" aboveAverage="0" equalAverage="0" bottom="0" percent="0" rank="0" text="" dxfId="6">
      <formula>$G$19="有"</formula>
    </cfRule>
  </conditionalFormatting>
  <dataValidations count="2">
    <dataValidation allowBlank="true" operator="between" showDropDown="false" showErrorMessage="true" showInputMessage="true" sqref="G19 M19" type="list">
      <formula1>"有,無"</formula1>
      <formula2>0</formula2>
    </dataValidation>
    <dataValidation allowBlank="true" operator="between" showDropDown="false" showErrorMessage="true" showInputMessage="true" sqref="A19" type="list">
      <formula1>"0,1,2,3,4,5,6,7,8,9,10"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AMJ93"/>
  <sheetViews>
    <sheetView showFormulas="false" showGridLines="false" showRowColHeaders="true" showZeros="true" rightToLeft="false" tabSelected="false" showOutlineSymbols="true" defaultGridColor="true" view="normal" topLeftCell="N22" colorId="64" zoomScale="100" zoomScaleNormal="100" zoomScalePageLayoutView="100" workbookViewId="0">
      <selection pane="topLeft" activeCell="F9" activeCellId="0" sqref="F9"/>
    </sheetView>
  </sheetViews>
  <sheetFormatPr defaultColWidth="9.00390625" defaultRowHeight="13.8" zeroHeight="false" outlineLevelRow="0" outlineLevelCol="0"/>
  <cols>
    <col collapsed="false" customWidth="true" hidden="false" outlineLevel="0" max="1" min="1" style="60" width="2.63"/>
    <col collapsed="false" customWidth="true" hidden="false" outlineLevel="0" max="12" min="2" style="60" width="16"/>
    <col collapsed="false" customWidth="true" hidden="false" outlineLevel="0" max="14" min="13" style="0" width="16"/>
    <col collapsed="false" customWidth="false" hidden="false" outlineLevel="0" max="16" min="15" style="60" width="9"/>
    <col collapsed="false" customWidth="true" hidden="false" outlineLevel="0" max="17" min="17" style="60" width="35.44"/>
    <col collapsed="false" customWidth="false" hidden="false" outlineLevel="0" max="1021" min="18" style="60" width="9"/>
    <col collapsed="false" customWidth="true" hidden="false" outlineLevel="0" max="1024" min="1022" style="0" width="11.64"/>
  </cols>
  <sheetData>
    <row r="2" customFormat="false" ht="19.7" hidden="false" customHeight="false" outlineLevel="0" collapsed="false">
      <c r="A2" s="61" t="s">
        <v>83</v>
      </c>
    </row>
    <row r="4" customFormat="false" ht="17.35" hidden="false" customHeight="false" outlineLevel="0" collapsed="false">
      <c r="A4" s="62" t="s">
        <v>84</v>
      </c>
      <c r="M4" s="60"/>
      <c r="N4" s="60"/>
    </row>
    <row r="6" customFormat="false" ht="13.8" hidden="false" customHeight="false" outlineLevel="0" collapsed="false">
      <c r="B6" s="60" t="s">
        <v>85</v>
      </c>
      <c r="G6" s="60" t="s">
        <v>86</v>
      </c>
    </row>
    <row r="7" customFormat="false" ht="13.8" hidden="false" customHeight="false" outlineLevel="0" collapsed="false">
      <c r="B7" s="63" t="s">
        <v>87</v>
      </c>
      <c r="C7" s="63"/>
      <c r="D7" s="63" t="s">
        <v>88</v>
      </c>
      <c r="E7" s="63"/>
      <c r="G7" s="60" t="s">
        <v>89</v>
      </c>
      <c r="M7" s="60"/>
      <c r="N7" s="60"/>
      <c r="AMB7" s="0"/>
      <c r="AMC7" s="0"/>
      <c r="AMD7" s="0"/>
      <c r="AME7" s="0"/>
      <c r="AMF7" s="0"/>
      <c r="AMG7" s="0"/>
    </row>
    <row r="8" customFormat="false" ht="13.8" hidden="false" customHeight="false" outlineLevel="0" collapsed="false">
      <c r="B8" s="64" t="n">
        <f aca="false">D8+D10+D12</f>
        <v>4</v>
      </c>
      <c r="C8" s="64"/>
      <c r="D8" s="64" t="n">
        <v>4</v>
      </c>
      <c r="E8" s="64"/>
      <c r="M8" s="60"/>
      <c r="N8" s="60"/>
      <c r="AMB8" s="0"/>
      <c r="AMC8" s="0"/>
      <c r="AMD8" s="0"/>
      <c r="AME8" s="0"/>
      <c r="AMF8" s="0"/>
      <c r="AMG8" s="0"/>
    </row>
    <row r="9" customFormat="false" ht="13.8" hidden="false" customHeight="false" outlineLevel="0" collapsed="false">
      <c r="B9" s="64"/>
      <c r="C9" s="64"/>
      <c r="D9" s="65" t="s">
        <v>90</v>
      </c>
      <c r="E9" s="65"/>
      <c r="G9" s="60" t="s">
        <v>91</v>
      </c>
      <c r="M9" s="60"/>
      <c r="N9" s="60"/>
      <c r="AMB9" s="0"/>
      <c r="AMC9" s="0"/>
      <c r="AMD9" s="0"/>
      <c r="AME9" s="0"/>
      <c r="AMF9" s="0"/>
      <c r="AMG9" s="0"/>
    </row>
    <row r="10" customFormat="false" ht="13.8" hidden="false" customHeight="false" outlineLevel="0" collapsed="false">
      <c r="B10" s="64"/>
      <c r="C10" s="64"/>
      <c r="D10" s="64" t="n">
        <v>0</v>
      </c>
      <c r="E10" s="64"/>
      <c r="G10" s="60" t="s">
        <v>92</v>
      </c>
      <c r="M10" s="60"/>
      <c r="N10" s="60"/>
      <c r="AMB10" s="0"/>
      <c r="AMC10" s="0"/>
      <c r="AMD10" s="0"/>
      <c r="AME10" s="0"/>
      <c r="AMF10" s="0"/>
      <c r="AMG10" s="0"/>
    </row>
    <row r="11" customFormat="false" ht="13.8" hidden="false" customHeight="false" outlineLevel="0" collapsed="false">
      <c r="B11" s="64"/>
      <c r="C11" s="64"/>
      <c r="D11" s="65"/>
      <c r="E11" s="65"/>
      <c r="G11" s="60" t="s">
        <v>93</v>
      </c>
      <c r="M11" s="60"/>
      <c r="N11" s="60"/>
      <c r="AMB11" s="0"/>
      <c r="AMC11" s="0"/>
      <c r="AMD11" s="0"/>
      <c r="AME11" s="0"/>
      <c r="AMF11" s="0"/>
      <c r="AMG11" s="0"/>
    </row>
    <row r="12" customFormat="false" ht="13.8" hidden="false" customHeight="false" outlineLevel="0" collapsed="false">
      <c r="B12" s="64"/>
      <c r="C12" s="64"/>
      <c r="D12" s="64" t="n">
        <v>0</v>
      </c>
      <c r="E12" s="64"/>
      <c r="G12" s="60" t="s">
        <v>94</v>
      </c>
      <c r="M12" s="60"/>
      <c r="N12" s="60"/>
      <c r="AMB12" s="0"/>
      <c r="AMC12" s="0"/>
      <c r="AMD12" s="0"/>
      <c r="AME12" s="0"/>
      <c r="AMF12" s="0"/>
      <c r="AMG12" s="0"/>
    </row>
    <row r="13" customFormat="false" ht="13.8" hidden="false" customHeight="false" outlineLevel="0" collapsed="false">
      <c r="M13" s="60"/>
      <c r="N13" s="60"/>
      <c r="AMB13" s="0"/>
      <c r="AMC13" s="0"/>
      <c r="AMD13" s="0"/>
      <c r="AME13" s="0"/>
      <c r="AMF13" s="0"/>
      <c r="AMG13" s="0"/>
    </row>
    <row r="14" customFormat="false" ht="13.8" hidden="false" customHeight="false" outlineLevel="0" collapsed="false">
      <c r="G14" s="60" t="s">
        <v>95</v>
      </c>
      <c r="M14" s="60"/>
      <c r="N14" s="60"/>
      <c r="AMB14" s="0"/>
      <c r="AMC14" s="0"/>
      <c r="AMD14" s="0"/>
      <c r="AME14" s="0"/>
      <c r="AMF14" s="0"/>
      <c r="AMG14" s="0"/>
    </row>
    <row r="15" customFormat="false" ht="13.8" hidden="false" customHeight="false" outlineLevel="0" collapsed="false">
      <c r="G15" s="60" t="s">
        <v>96</v>
      </c>
      <c r="M15" s="60"/>
      <c r="N15" s="60"/>
    </row>
    <row r="16" customFormat="false" ht="13.8" hidden="false" customHeight="false" outlineLevel="0" collapsed="false">
      <c r="M16" s="60"/>
      <c r="N16" s="60"/>
    </row>
    <row r="17" customFormat="false" ht="13.8" hidden="false" customHeight="false" outlineLevel="0" collapsed="false">
      <c r="B17" s="60" t="s">
        <v>97</v>
      </c>
      <c r="G17" s="60" t="s">
        <v>98</v>
      </c>
      <c r="M17" s="60"/>
      <c r="N17" s="60"/>
      <c r="AMG17" s="0"/>
    </row>
    <row r="18" customFormat="false" ht="13.8" hidden="false" customHeight="false" outlineLevel="0" collapsed="false">
      <c r="B18" s="66" t="s">
        <v>99</v>
      </c>
      <c r="C18" s="66"/>
      <c r="D18" s="67" t="s">
        <v>100</v>
      </c>
      <c r="G18" s="60" t="s">
        <v>101</v>
      </c>
      <c r="M18" s="60"/>
      <c r="N18" s="60"/>
      <c r="AMG18" s="0"/>
    </row>
    <row r="19" customFormat="false" ht="13.8" hidden="false" customHeight="false" outlineLevel="0" collapsed="false">
      <c r="B19" s="66" t="s">
        <v>102</v>
      </c>
      <c r="C19" s="66"/>
      <c r="D19" s="68" t="n">
        <v>150000</v>
      </c>
      <c r="G19" s="60" t="s">
        <v>103</v>
      </c>
      <c r="M19" s="60"/>
      <c r="N19" s="60"/>
      <c r="AMG19" s="0"/>
    </row>
    <row r="20" customFormat="false" ht="13.8" hidden="false" customHeight="false" outlineLevel="0" collapsed="false">
      <c r="B20" s="66"/>
      <c r="C20" s="66"/>
      <c r="D20" s="68"/>
      <c r="G20" s="60" t="s">
        <v>104</v>
      </c>
      <c r="M20" s="60"/>
      <c r="N20" s="60"/>
    </row>
    <row r="21" customFormat="false" ht="13.8" hidden="false" customHeight="false" outlineLevel="0" collapsed="false">
      <c r="B21" s="66" t="s">
        <v>105</v>
      </c>
      <c r="C21" s="66"/>
      <c r="D21" s="68" t="n">
        <v>180000</v>
      </c>
      <c r="G21" s="60" t="s">
        <v>106</v>
      </c>
      <c r="M21" s="60"/>
      <c r="N21" s="60"/>
    </row>
    <row r="22" customFormat="false" ht="13.8" hidden="false" customHeight="false" outlineLevel="0" collapsed="false">
      <c r="B22" s="66" t="s">
        <v>107</v>
      </c>
      <c r="C22" s="66"/>
      <c r="D22" s="68" t="n">
        <v>50000</v>
      </c>
      <c r="M22" s="60"/>
      <c r="N22" s="60"/>
    </row>
    <row r="23" customFormat="false" ht="13.8" hidden="false" customHeight="false" outlineLevel="0" collapsed="false">
      <c r="B23" s="66"/>
      <c r="C23" s="66"/>
      <c r="D23" s="68"/>
      <c r="G23" s="60" t="s">
        <v>108</v>
      </c>
      <c r="M23" s="60"/>
      <c r="N23" s="60"/>
    </row>
    <row r="24" customFormat="false" ht="13.8" hidden="false" customHeight="false" outlineLevel="0" collapsed="false">
      <c r="B24" s="66"/>
      <c r="C24" s="66"/>
      <c r="D24" s="68"/>
      <c r="G24" s="60" t="s">
        <v>109</v>
      </c>
      <c r="M24" s="60"/>
      <c r="N24" s="60"/>
    </row>
    <row r="25" customFormat="false" ht="13.8" hidden="false" customHeight="false" outlineLevel="0" collapsed="false">
      <c r="B25" s="66"/>
      <c r="C25" s="66"/>
      <c r="D25" s="68"/>
      <c r="G25" s="60" t="s">
        <v>110</v>
      </c>
      <c r="M25" s="60"/>
      <c r="N25" s="60"/>
    </row>
    <row r="26" customFormat="false" ht="13.8" hidden="false" customHeight="false" outlineLevel="0" collapsed="false">
      <c r="B26" s="66"/>
      <c r="C26" s="66"/>
      <c r="D26" s="68"/>
      <c r="M26" s="60"/>
      <c r="N26" s="60"/>
    </row>
    <row r="27" customFormat="false" ht="13.8" hidden="false" customHeight="false" outlineLevel="0" collapsed="false">
      <c r="B27" s="66"/>
      <c r="C27" s="66"/>
      <c r="D27" s="68"/>
      <c r="G27" s="60" t="s">
        <v>111</v>
      </c>
      <c r="M27" s="60"/>
      <c r="N27" s="60"/>
    </row>
    <row r="28" customFormat="false" ht="13.8" hidden="false" customHeight="false" outlineLevel="0" collapsed="false">
      <c r="B28" s="66"/>
      <c r="C28" s="66"/>
      <c r="D28" s="68"/>
      <c r="M28" s="60"/>
      <c r="N28" s="60"/>
    </row>
    <row r="29" customFormat="false" ht="13.8" hidden="false" customHeight="false" outlineLevel="0" collapsed="false">
      <c r="B29" s="66"/>
      <c r="C29" s="66"/>
      <c r="D29" s="68"/>
      <c r="G29" s="60" t="s">
        <v>112</v>
      </c>
      <c r="M29" s="60"/>
      <c r="N29" s="60"/>
    </row>
    <row r="30" customFormat="false" ht="13.8" hidden="false" customHeight="false" outlineLevel="0" collapsed="false">
      <c r="B30" s="66"/>
      <c r="C30" s="66"/>
      <c r="D30" s="68"/>
      <c r="M30" s="60"/>
      <c r="N30" s="60"/>
    </row>
    <row r="31" customFormat="false" ht="13.8" hidden="false" customHeight="false" outlineLevel="0" collapsed="false">
      <c r="B31" s="66"/>
      <c r="C31" s="66"/>
      <c r="D31" s="68"/>
      <c r="M31" s="60"/>
      <c r="N31" s="60"/>
    </row>
    <row r="32" customFormat="false" ht="13.8" hidden="false" customHeight="false" outlineLevel="0" collapsed="false">
      <c r="M32" s="60"/>
      <c r="N32" s="60"/>
    </row>
    <row r="33" customFormat="false" ht="17.35" hidden="false" customHeight="false" outlineLevel="0" collapsed="false">
      <c r="A33" s="62" t="s">
        <v>113</v>
      </c>
      <c r="M33" s="60"/>
      <c r="N33" s="60"/>
    </row>
    <row r="34" customFormat="false" ht="13.8" hidden="false" customHeight="false" outlineLevel="0" collapsed="false">
      <c r="C34" s="69"/>
      <c r="M34" s="60"/>
      <c r="N34" s="60"/>
    </row>
    <row r="35" s="72" customFormat="true" ht="15" hidden="false" customHeight="false" outlineLevel="0" collapsed="false">
      <c r="A35" s="70"/>
      <c r="B35" s="71" t="s">
        <v>114</v>
      </c>
      <c r="C35" s="71"/>
      <c r="D35" s="71"/>
      <c r="E35" s="71"/>
      <c r="F35" s="71"/>
      <c r="G35" s="71"/>
      <c r="I35" s="71" t="s">
        <v>115</v>
      </c>
      <c r="J35" s="71"/>
      <c r="K35" s="71"/>
      <c r="L35" s="71"/>
      <c r="M35" s="71"/>
      <c r="N35" s="71"/>
      <c r="AMH35" s="0"/>
      <c r="AMI35" s="0"/>
      <c r="AMJ35" s="0"/>
    </row>
    <row r="36" customFormat="false" ht="13.5" hidden="false" customHeight="true" outlineLevel="0" collapsed="false">
      <c r="B36" s="73" t="str">
        <f aca="false">$B$18</f>
        <v>メニュー</v>
      </c>
      <c r="C36" s="73"/>
      <c r="D36" s="63" t="s">
        <v>116</v>
      </c>
      <c r="E36" s="63" t="s">
        <v>117</v>
      </c>
      <c r="F36" s="63" t="s">
        <v>118</v>
      </c>
      <c r="G36" s="63" t="s">
        <v>119</v>
      </c>
      <c r="I36" s="73" t="str">
        <f aca="false">$B$18</f>
        <v>メニュー</v>
      </c>
      <c r="J36" s="73"/>
      <c r="K36" s="63" t="s">
        <v>116</v>
      </c>
      <c r="L36" s="63" t="s">
        <v>117</v>
      </c>
      <c r="M36" s="63" t="s">
        <v>118</v>
      </c>
      <c r="N36" s="63" t="s">
        <v>119</v>
      </c>
      <c r="O36" s="74"/>
      <c r="R36" s="75" t="n">
        <v>1</v>
      </c>
      <c r="S36" s="75" t="n">
        <v>2</v>
      </c>
      <c r="T36" s="75" t="n">
        <v>3</v>
      </c>
      <c r="U36" s="75" t="n">
        <v>4</v>
      </c>
      <c r="V36" s="75" t="n">
        <v>5</v>
      </c>
      <c r="W36" s="75" t="n">
        <v>6</v>
      </c>
      <c r="X36" s="75" t="n">
        <v>7</v>
      </c>
      <c r="Y36" s="75" t="n">
        <v>8</v>
      </c>
      <c r="Z36" s="75" t="n">
        <v>9</v>
      </c>
      <c r="AA36" s="75" t="n">
        <v>10</v>
      </c>
      <c r="AB36" s="75" t="n">
        <v>11</v>
      </c>
      <c r="AC36" s="75" t="n">
        <v>12</v>
      </c>
      <c r="AD36" s="75" t="n">
        <v>13</v>
      </c>
      <c r="AE36" s="75" t="n">
        <v>14</v>
      </c>
      <c r="AF36" s="75" t="n">
        <v>15</v>
      </c>
      <c r="AG36" s="75" t="n">
        <v>16</v>
      </c>
      <c r="AH36" s="75" t="n">
        <v>17</v>
      </c>
    </row>
    <row r="37" customFormat="false" ht="13.8" hidden="false" customHeight="false" outlineLevel="0" collapsed="false">
      <c r="B37" s="76" t="str">
        <f aca="false">$B$19</f>
        <v>ルナーレ事務局演奏現場</v>
      </c>
      <c r="C37" s="76"/>
      <c r="D37" s="77" t="n">
        <v>0.25</v>
      </c>
      <c r="E37" s="78" t="n">
        <f aca="false">D37*D19</f>
        <v>37500</v>
      </c>
      <c r="F37" s="79" t="n">
        <f aca="false">D37*$B$8</f>
        <v>1</v>
      </c>
      <c r="G37" s="78" t="n">
        <f aca="false">F37*D19</f>
        <v>150000</v>
      </c>
      <c r="I37" s="76" t="str">
        <f aca="false">$B$19</f>
        <v>ルナーレ事務局演奏現場</v>
      </c>
      <c r="J37" s="76"/>
      <c r="K37" s="77" t="n">
        <v>0.25</v>
      </c>
      <c r="L37" s="78" t="n">
        <f aca="false">D19*K37</f>
        <v>37500</v>
      </c>
      <c r="M37" s="79" t="n">
        <f aca="false">K37*$B$8</f>
        <v>1</v>
      </c>
      <c r="N37" s="78" t="n">
        <f aca="false">M37*D19</f>
        <v>150000</v>
      </c>
      <c r="O37" s="74"/>
      <c r="Q37" s="75" t="str">
        <f aca="false">I37</f>
        <v>ルナーレ事務局演奏現場</v>
      </c>
      <c r="R37" s="75" t="n">
        <f aca="false">G37</f>
        <v>150000</v>
      </c>
      <c r="S37" s="75" t="n">
        <f aca="false">G37</f>
        <v>150000</v>
      </c>
      <c r="T37" s="75" t="n">
        <f aca="false">G37</f>
        <v>150000</v>
      </c>
      <c r="U37" s="75" t="n">
        <f aca="false">N37</f>
        <v>150000</v>
      </c>
      <c r="V37" s="75" t="n">
        <f aca="false">N37</f>
        <v>150000</v>
      </c>
      <c r="W37" s="75" t="n">
        <f aca="false">N37</f>
        <v>150000</v>
      </c>
      <c r="X37" s="75" t="n">
        <f aca="false">G46</f>
        <v>600000</v>
      </c>
      <c r="Y37" s="75" t="n">
        <f aca="false">G46</f>
        <v>600000</v>
      </c>
      <c r="Z37" s="75" t="n">
        <f aca="false">N46</f>
        <v>937500</v>
      </c>
      <c r="AA37" s="75" t="n">
        <f aca="false">Z37*1.05</f>
        <v>984375</v>
      </c>
      <c r="AB37" s="75" t="n">
        <f aca="false">AA37*1.05</f>
        <v>1033593.75</v>
      </c>
      <c r="AC37" s="75" t="n">
        <f aca="false">AB37*1.05</f>
        <v>1085273.4375</v>
      </c>
      <c r="AD37" s="75" t="n">
        <f aca="false">AC37*1.05</f>
        <v>1139537.109375</v>
      </c>
      <c r="AE37" s="75" t="n">
        <f aca="false">AD37*1.05</f>
        <v>1196513.96484375</v>
      </c>
      <c r="AF37" s="75" t="n">
        <f aca="false">AE37*1.05</f>
        <v>1256339.66308594</v>
      </c>
      <c r="AG37" s="75" t="n">
        <f aca="false">AF37*1.05</f>
        <v>1319156.64624023</v>
      </c>
      <c r="AH37" s="75" t="n">
        <f aca="false">AG37*1.05</f>
        <v>1385114.47855225</v>
      </c>
    </row>
    <row r="38" customFormat="false" ht="13.8" hidden="false" customHeight="false" outlineLevel="0" collapsed="false">
      <c r="B38" s="76"/>
      <c r="C38" s="76" t="n">
        <f aca="false">$B$20</f>
        <v>0</v>
      </c>
      <c r="D38" s="77"/>
      <c r="E38" s="78"/>
      <c r="F38" s="79"/>
      <c r="G38" s="78"/>
      <c r="I38" s="76"/>
      <c r="J38" s="76" t="n">
        <f aca="false">$B$20</f>
        <v>0</v>
      </c>
      <c r="K38" s="77"/>
      <c r="L38" s="78"/>
      <c r="M38" s="79"/>
      <c r="N38" s="78"/>
      <c r="Q38" s="36"/>
      <c r="R38" s="36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</row>
    <row r="39" customFormat="false" ht="13.8" hidden="false" customHeight="false" outlineLevel="0" collapsed="false">
      <c r="B39" s="76" t="str">
        <f aca="false">$B$21</f>
        <v>Music Train チケット料</v>
      </c>
      <c r="C39" s="76" t="n">
        <f aca="false">$B$20</f>
        <v>0</v>
      </c>
      <c r="D39" s="77" t="n">
        <v>0</v>
      </c>
      <c r="E39" s="78" t="n">
        <f aca="false">D39*D21</f>
        <v>0</v>
      </c>
      <c r="F39" s="79" t="n">
        <f aca="false">D39*$B$8</f>
        <v>0</v>
      </c>
      <c r="G39" s="78" t="n">
        <f aca="false">F39*D21</f>
        <v>0</v>
      </c>
      <c r="I39" s="76" t="str">
        <f aca="false">$B$21</f>
        <v>Music Train チケット料</v>
      </c>
      <c r="J39" s="76" t="n">
        <f aca="false">$B$20</f>
        <v>0</v>
      </c>
      <c r="K39" s="77" t="n">
        <v>1</v>
      </c>
      <c r="L39" s="78" t="n">
        <f aca="false">D21*K39</f>
        <v>180000</v>
      </c>
      <c r="M39" s="79" t="n">
        <f aca="false">K39*$B$8</f>
        <v>4</v>
      </c>
      <c r="N39" s="78" t="n">
        <f aca="false">M39*D21</f>
        <v>720000</v>
      </c>
      <c r="Q39" s="36" t="str">
        <f aca="false">I39</f>
        <v>Music Train チケット料</v>
      </c>
      <c r="R39" s="80" t="n">
        <f aca="false">G39</f>
        <v>0</v>
      </c>
      <c r="S39" s="80" t="n">
        <f aca="false">G39</f>
        <v>0</v>
      </c>
      <c r="T39" s="75" t="n">
        <f aca="false">G39</f>
        <v>0</v>
      </c>
      <c r="U39" s="75" t="n">
        <f aca="false">N39*0.8</f>
        <v>576000</v>
      </c>
      <c r="V39" s="75" t="n">
        <f aca="false">N39*0.9</f>
        <v>648000</v>
      </c>
      <c r="W39" s="75" t="n">
        <f aca="false">N39</f>
        <v>720000</v>
      </c>
      <c r="X39" s="75" t="n">
        <f aca="false">G48*1.1</f>
        <v>792000</v>
      </c>
      <c r="Y39" s="75" t="n">
        <f aca="false">G48*1.2</f>
        <v>864000</v>
      </c>
      <c r="Z39" s="75" t="n">
        <v>0</v>
      </c>
      <c r="AA39" s="75" t="n">
        <f aca="false">G39*1.1</f>
        <v>0</v>
      </c>
      <c r="AB39" s="75" t="n">
        <f aca="false">G39*1.2</f>
        <v>0</v>
      </c>
      <c r="AC39" s="75"/>
      <c r="AD39" s="75"/>
      <c r="AE39" s="75"/>
      <c r="AF39" s="75"/>
      <c r="AG39" s="75"/>
      <c r="AH39" s="75"/>
    </row>
    <row r="40" customFormat="false" ht="13.8" hidden="false" customHeight="false" outlineLevel="0" collapsed="false">
      <c r="B40" s="76" t="str">
        <f aca="false">$B$22</f>
        <v>Music Train スポンサー料</v>
      </c>
      <c r="C40" s="76" t="n">
        <f aca="false">$B$20</f>
        <v>0</v>
      </c>
      <c r="D40" s="77" t="n">
        <v>0</v>
      </c>
      <c r="E40" s="78" t="n">
        <f aca="false">D40*D22</f>
        <v>0</v>
      </c>
      <c r="F40" s="79" t="n">
        <f aca="false">D40*$B$8</f>
        <v>0</v>
      </c>
      <c r="G40" s="78" t="n">
        <f aca="false">F40*D22</f>
        <v>0</v>
      </c>
      <c r="I40" s="75" t="str">
        <f aca="false">$B$22</f>
        <v>Music Train スポンサー料</v>
      </c>
      <c r="J40" s="75"/>
      <c r="K40" s="77" t="n">
        <v>1</v>
      </c>
      <c r="L40" s="78" t="n">
        <f aca="false">D22*K40</f>
        <v>50000</v>
      </c>
      <c r="M40" s="79" t="n">
        <f aca="false">K40*$B$8</f>
        <v>4</v>
      </c>
      <c r="N40" s="78" t="n">
        <f aca="false">M40*D22</f>
        <v>200000</v>
      </c>
      <c r="Q40" s="36" t="str">
        <f aca="false">I40</f>
        <v>Music Train スポンサー料</v>
      </c>
      <c r="R40" s="80" t="n">
        <f aca="false">G40</f>
        <v>0</v>
      </c>
      <c r="S40" s="80" t="n">
        <f aca="false">G39</f>
        <v>0</v>
      </c>
      <c r="T40" s="80" t="n">
        <f aca="false">G39</f>
        <v>0</v>
      </c>
      <c r="U40" s="75" t="n">
        <f aca="false">N40</f>
        <v>200000</v>
      </c>
      <c r="V40" s="75" t="n">
        <f aca="false">N40</f>
        <v>200000</v>
      </c>
      <c r="W40" s="75" t="n">
        <f aca="false">N40</f>
        <v>200000</v>
      </c>
      <c r="X40" s="75" t="n">
        <f aca="false">G49</f>
        <v>200000</v>
      </c>
      <c r="Y40" s="75" t="n">
        <f aca="false">G49</f>
        <v>200000</v>
      </c>
      <c r="Z40" s="75" t="n">
        <v>0</v>
      </c>
      <c r="AA40" s="75" t="n">
        <f aca="false">G40</f>
        <v>0</v>
      </c>
      <c r="AB40" s="75" t="n">
        <f aca="false">G40</f>
        <v>0</v>
      </c>
      <c r="AC40" s="75"/>
      <c r="AD40" s="75"/>
      <c r="AE40" s="75"/>
      <c r="AF40" s="75"/>
      <c r="AG40" s="75"/>
      <c r="AH40" s="75"/>
    </row>
    <row r="41" customFormat="false" ht="13.8" hidden="false" customHeight="false" outlineLevel="0" collapsed="false">
      <c r="B41" s="81"/>
      <c r="C41" s="81" t="n">
        <f aca="false">$B$23</f>
        <v>0</v>
      </c>
      <c r="D41" s="77"/>
      <c r="E41" s="78"/>
      <c r="F41" s="79"/>
      <c r="G41" s="78"/>
      <c r="I41" s="76"/>
      <c r="J41" s="76" t="n">
        <f aca="false">$B$23</f>
        <v>0</v>
      </c>
      <c r="K41" s="77"/>
      <c r="L41" s="78"/>
      <c r="M41" s="79"/>
      <c r="N41" s="78"/>
      <c r="Q41" s="36" t="s">
        <v>120</v>
      </c>
      <c r="R41" s="36" t="n">
        <f aca="false">SUM(R37:R40)</f>
        <v>150000</v>
      </c>
      <c r="S41" s="36" t="n">
        <f aca="false">SUM(S37:S40)</f>
        <v>150000</v>
      </c>
      <c r="T41" s="36" t="n">
        <f aca="false">SUM(T37:T40)</f>
        <v>150000</v>
      </c>
      <c r="U41" s="36" t="n">
        <f aca="false">SUM(U37:U40)</f>
        <v>926000</v>
      </c>
      <c r="V41" s="36" t="n">
        <f aca="false">SUM(V37:V40)</f>
        <v>998000</v>
      </c>
      <c r="W41" s="36" t="n">
        <f aca="false">SUM(W37:W40)</f>
        <v>1070000</v>
      </c>
      <c r="X41" s="36" t="n">
        <f aca="false">SUM(X37:X40)</f>
        <v>1592000</v>
      </c>
      <c r="Y41" s="36" t="n">
        <f aca="false">SUM(Y37:Y40)</f>
        <v>1664000</v>
      </c>
      <c r="Z41" s="36" t="n">
        <f aca="false">SUM(Z37:Z40)</f>
        <v>937500</v>
      </c>
      <c r="AA41" s="36" t="n">
        <f aca="false">SUM(AA37:AA40)</f>
        <v>984375</v>
      </c>
      <c r="AB41" s="36" t="n">
        <f aca="false">SUM(AB37:AB40)</f>
        <v>1033593.75</v>
      </c>
      <c r="AC41" s="36" t="n">
        <f aca="false">SUM(AC37:AC40)</f>
        <v>1085273.4375</v>
      </c>
      <c r="AD41" s="36" t="n">
        <f aca="false">SUM(AD37:AD40)</f>
        <v>1139537.109375</v>
      </c>
      <c r="AE41" s="36" t="n">
        <f aca="false">SUM(AE37:AE40)</f>
        <v>1196513.96484375</v>
      </c>
      <c r="AF41" s="36" t="n">
        <f aca="false">SUM(AF37:AF40)</f>
        <v>1256339.66308594</v>
      </c>
      <c r="AG41" s="36" t="n">
        <f aca="false">SUM(AG37:AG40)</f>
        <v>1319156.64624023</v>
      </c>
      <c r="AH41" s="36" t="n">
        <f aca="false">SUM(AH37:AH40)</f>
        <v>1385114.47855225</v>
      </c>
    </row>
    <row r="42" customFormat="false" ht="13.8" hidden="false" customHeight="false" outlineLevel="0" collapsed="false">
      <c r="B42" s="82" t="s">
        <v>120</v>
      </c>
      <c r="C42" s="82"/>
      <c r="D42" s="83" t="n">
        <f aca="false">SUM(D37:D41)</f>
        <v>0.25</v>
      </c>
      <c r="E42" s="84" t="n">
        <f aca="false">SUM(E37:E41)</f>
        <v>37500</v>
      </c>
      <c r="F42" s="85" t="n">
        <f aca="false">SUM(F37:F41)</f>
        <v>1</v>
      </c>
      <c r="G42" s="84" t="n">
        <f aca="false">SUM(G37:G41)</f>
        <v>150000</v>
      </c>
      <c r="I42" s="82" t="s">
        <v>120</v>
      </c>
      <c r="J42" s="82"/>
      <c r="K42" s="83" t="n">
        <f aca="false">SUM(K37:K41)</f>
        <v>2.25</v>
      </c>
      <c r="L42" s="84" t="n">
        <f aca="false">SUM(L37:L41)</f>
        <v>267500</v>
      </c>
      <c r="M42" s="85" t="n">
        <f aca="false">SUM(M37:M41)</f>
        <v>9</v>
      </c>
      <c r="N42" s="84" t="n">
        <f aca="false">SUM(N37:N41)</f>
        <v>1070000</v>
      </c>
    </row>
    <row r="43" customFormat="false" ht="13.8" hidden="false" customHeight="false" outlineLevel="0" collapsed="false">
      <c r="M43" s="60"/>
      <c r="N43" s="60"/>
    </row>
    <row r="44" customFormat="false" ht="15" hidden="false" customHeight="false" outlineLevel="0" collapsed="false">
      <c r="B44" s="71" t="s">
        <v>121</v>
      </c>
      <c r="C44" s="71"/>
      <c r="D44" s="71"/>
      <c r="E44" s="71"/>
      <c r="F44" s="71"/>
      <c r="G44" s="71"/>
      <c r="I44" s="71" t="s">
        <v>122</v>
      </c>
      <c r="J44" s="71"/>
      <c r="K44" s="71"/>
      <c r="L44" s="71"/>
      <c r="M44" s="71"/>
      <c r="N44" s="71"/>
      <c r="R44" s="75" t="n">
        <v>4</v>
      </c>
      <c r="S44" s="75" t="n">
        <v>5</v>
      </c>
      <c r="T44" s="75" t="n">
        <v>6</v>
      </c>
      <c r="U44" s="75" t="n">
        <v>7</v>
      </c>
      <c r="V44" s="75" t="n">
        <v>8</v>
      </c>
      <c r="W44" s="75" t="n">
        <v>9</v>
      </c>
      <c r="X44" s="75" t="n">
        <v>10</v>
      </c>
      <c r="Y44" s="75" t="n">
        <v>11</v>
      </c>
      <c r="Z44" s="75" t="n">
        <v>12</v>
      </c>
      <c r="AA44" s="75" t="n">
        <v>1</v>
      </c>
      <c r="AB44" s="75" t="n">
        <v>2</v>
      </c>
      <c r="AC44" s="75" t="n">
        <v>3</v>
      </c>
      <c r="AD44" s="75" t="n">
        <v>4</v>
      </c>
      <c r="AE44" s="75" t="n">
        <v>5</v>
      </c>
      <c r="AF44" s="75" t="n">
        <v>6</v>
      </c>
      <c r="AG44" s="75" t="n">
        <v>7</v>
      </c>
      <c r="AH44" s="75" t="n">
        <v>8</v>
      </c>
    </row>
    <row r="45" customFormat="false" ht="13.8" hidden="false" customHeight="false" outlineLevel="0" collapsed="false">
      <c r="B45" s="73" t="str">
        <f aca="false">$B$18</f>
        <v>メニュー</v>
      </c>
      <c r="C45" s="73"/>
      <c r="D45" s="63" t="s">
        <v>116</v>
      </c>
      <c r="E45" s="63" t="s">
        <v>117</v>
      </c>
      <c r="F45" s="63" t="s">
        <v>118</v>
      </c>
      <c r="G45" s="63" t="s">
        <v>119</v>
      </c>
      <c r="I45" s="73" t="str">
        <f aca="false">$B$18</f>
        <v>メニュー</v>
      </c>
      <c r="J45" s="73"/>
      <c r="K45" s="63" t="s">
        <v>116</v>
      </c>
      <c r="L45" s="63" t="s">
        <v>117</v>
      </c>
      <c r="M45" s="63" t="s">
        <v>118</v>
      </c>
      <c r="N45" s="63" t="s">
        <v>119</v>
      </c>
    </row>
    <row r="46" customFormat="false" ht="13.8" hidden="false" customHeight="false" outlineLevel="0" collapsed="false">
      <c r="B46" s="76" t="str">
        <f aca="false">$B$19</f>
        <v>ルナーレ事務局演奏現場</v>
      </c>
      <c r="C46" s="76"/>
      <c r="D46" s="77" t="n">
        <v>1</v>
      </c>
      <c r="E46" s="78" t="n">
        <f aca="false">D46*D19</f>
        <v>150000</v>
      </c>
      <c r="F46" s="79" t="n">
        <f aca="false">D46*$B$8</f>
        <v>4</v>
      </c>
      <c r="G46" s="78" t="n">
        <f aca="false">E46*F46</f>
        <v>600000</v>
      </c>
      <c r="I46" s="76" t="str">
        <f aca="false">$B$19</f>
        <v>ルナーレ事務局演奏現場</v>
      </c>
      <c r="J46" s="76"/>
      <c r="K46" s="77" t="n">
        <v>1.25</v>
      </c>
      <c r="L46" s="78" t="n">
        <f aca="false">D19*K46</f>
        <v>187500</v>
      </c>
      <c r="M46" s="79" t="n">
        <f aca="false">K46*$B$8</f>
        <v>5</v>
      </c>
      <c r="N46" s="78" t="n">
        <f aca="false">L46*M46</f>
        <v>937500</v>
      </c>
    </row>
    <row r="47" customFormat="false" ht="13.8" hidden="false" customHeight="false" outlineLevel="0" collapsed="false">
      <c r="B47" s="76"/>
      <c r="C47" s="76" t="n">
        <f aca="false">$B$20</f>
        <v>0</v>
      </c>
      <c r="D47" s="77"/>
      <c r="E47" s="78"/>
      <c r="F47" s="79"/>
      <c r="G47" s="78"/>
      <c r="I47" s="76"/>
      <c r="J47" s="76" t="n">
        <f aca="false">$B$20</f>
        <v>0</v>
      </c>
      <c r="K47" s="77"/>
      <c r="L47" s="78"/>
      <c r="M47" s="79"/>
      <c r="N47" s="78"/>
    </row>
    <row r="48" customFormat="false" ht="13.8" hidden="false" customHeight="false" outlineLevel="0" collapsed="false">
      <c r="B48" s="76" t="str">
        <f aca="false">$B$21</f>
        <v>Music Train チケット料</v>
      </c>
      <c r="C48" s="76" t="n">
        <f aca="false">$B$20</f>
        <v>0</v>
      </c>
      <c r="D48" s="77" t="n">
        <v>1</v>
      </c>
      <c r="E48" s="78" t="n">
        <f aca="false">D48*D21</f>
        <v>180000</v>
      </c>
      <c r="F48" s="79" t="n">
        <f aca="false">D48*$B$8</f>
        <v>4</v>
      </c>
      <c r="G48" s="78" t="n">
        <f aca="false">E48*F48</f>
        <v>720000</v>
      </c>
      <c r="I48" s="76" t="str">
        <f aca="false">$B$21</f>
        <v>Music Train チケット料</v>
      </c>
      <c r="J48" s="76" t="n">
        <f aca="false">$B$20</f>
        <v>0</v>
      </c>
      <c r="K48" s="77" t="n">
        <v>0</v>
      </c>
      <c r="L48" s="78" t="n">
        <f aca="false">D21*K48</f>
        <v>0</v>
      </c>
      <c r="M48" s="79" t="n">
        <f aca="false">K48*$B$8</f>
        <v>0</v>
      </c>
      <c r="N48" s="78" t="n">
        <f aca="false">L48*M48</f>
        <v>0</v>
      </c>
    </row>
    <row r="49" customFormat="false" ht="13.8" hidden="false" customHeight="false" outlineLevel="0" collapsed="false">
      <c r="B49" s="76" t="str">
        <f aca="false">$B$22</f>
        <v>Music Train スポンサー料</v>
      </c>
      <c r="C49" s="76" t="n">
        <f aca="false">$B$20</f>
        <v>0</v>
      </c>
      <c r="D49" s="77" t="n">
        <v>1</v>
      </c>
      <c r="E49" s="78" t="n">
        <f aca="false">D49*D22</f>
        <v>50000</v>
      </c>
      <c r="F49" s="79" t="n">
        <f aca="false">D49*$B$8</f>
        <v>4</v>
      </c>
      <c r="G49" s="78" t="n">
        <f aca="false">E49*F49</f>
        <v>200000</v>
      </c>
      <c r="I49" s="75" t="str">
        <f aca="false">$B$22</f>
        <v>Music Train スポンサー料</v>
      </c>
      <c r="J49" s="75"/>
      <c r="K49" s="77" t="n">
        <v>0</v>
      </c>
      <c r="L49" s="78" t="n">
        <f aca="false">D31*K49</f>
        <v>0</v>
      </c>
      <c r="M49" s="79" t="n">
        <f aca="false">K49*$B$8</f>
        <v>0</v>
      </c>
      <c r="N49" s="78" t="n">
        <f aca="false">L49*M49</f>
        <v>0</v>
      </c>
    </row>
    <row r="50" customFormat="false" ht="13.8" hidden="false" customHeight="false" outlineLevel="0" collapsed="false">
      <c r="B50" s="81"/>
      <c r="C50" s="81" t="n">
        <f aca="false">$B$23</f>
        <v>0</v>
      </c>
      <c r="D50" s="77"/>
      <c r="E50" s="78"/>
      <c r="F50" s="79"/>
      <c r="G50" s="78"/>
      <c r="I50" s="76"/>
      <c r="J50" s="76" t="n">
        <f aca="false">$B$23</f>
        <v>0</v>
      </c>
      <c r="K50" s="77"/>
      <c r="L50" s="78" t="n">
        <f aca="false">D32*K50</f>
        <v>0</v>
      </c>
      <c r="M50" s="79" t="n">
        <f aca="false">K50*$B$8</f>
        <v>0</v>
      </c>
      <c r="N50" s="78" t="n">
        <f aca="false">M50*D32</f>
        <v>0</v>
      </c>
    </row>
    <row r="51" customFormat="false" ht="13.8" hidden="false" customHeight="false" outlineLevel="0" collapsed="false">
      <c r="B51" s="82" t="s">
        <v>120</v>
      </c>
      <c r="C51" s="82"/>
      <c r="D51" s="83" t="n">
        <f aca="false">SUM(D46:D50)</f>
        <v>3</v>
      </c>
      <c r="E51" s="84" t="n">
        <f aca="false">SUM(E46:E50)</f>
        <v>380000</v>
      </c>
      <c r="F51" s="85" t="n">
        <f aca="false">SUM(F46:F50)</f>
        <v>12</v>
      </c>
      <c r="G51" s="84" t="n">
        <f aca="false">SUM(G46:G50)</f>
        <v>1520000</v>
      </c>
      <c r="I51" s="82" t="s">
        <v>120</v>
      </c>
      <c r="J51" s="82"/>
      <c r="K51" s="83" t="n">
        <f aca="false">SUM(K46:K50)</f>
        <v>1.25</v>
      </c>
      <c r="L51" s="84" t="n">
        <f aca="false">SUM(L46:L50)</f>
        <v>187500</v>
      </c>
      <c r="M51" s="85" t="n">
        <f aca="false">SUM(M46:M50)</f>
        <v>5</v>
      </c>
      <c r="N51" s="84" t="n">
        <f aca="false">SUM(N46:N50)</f>
        <v>937500</v>
      </c>
    </row>
    <row r="52" customFormat="false" ht="13.8" hidden="false" customHeight="false" outlineLevel="0" collapsed="false">
      <c r="M52" s="60"/>
      <c r="N52" s="60"/>
    </row>
    <row r="53" customFormat="false" ht="13.8" hidden="false" customHeight="false" outlineLevel="0" collapsed="false">
      <c r="M53" s="60"/>
      <c r="N53" s="60"/>
    </row>
    <row r="54" customFormat="false" ht="13.8" hidden="false" customHeight="false" outlineLevel="0" collapsed="false">
      <c r="M54" s="60"/>
      <c r="N54" s="60"/>
    </row>
    <row r="55" customFormat="false" ht="13.8" hidden="false" customHeight="false" outlineLevel="0" collapsed="false">
      <c r="M55" s="60"/>
      <c r="N55" s="60"/>
    </row>
    <row r="56" customFormat="false" ht="13.8" hidden="false" customHeight="false" outlineLevel="0" collapsed="false">
      <c r="M56" s="60"/>
      <c r="N56" s="60"/>
    </row>
    <row r="57" customFormat="false" ht="13.8" hidden="false" customHeight="false" outlineLevel="0" collapsed="false">
      <c r="M57" s="60"/>
      <c r="N57" s="60"/>
    </row>
    <row r="58" customFormat="false" ht="13.8" hidden="false" customHeight="false" outlineLevel="0" collapsed="false">
      <c r="M58" s="60"/>
      <c r="N58" s="60"/>
    </row>
    <row r="59" customFormat="false" ht="13.8" hidden="false" customHeight="false" outlineLevel="0" collapsed="false">
      <c r="M59" s="60"/>
      <c r="N59" s="60"/>
    </row>
    <row r="60" customFormat="false" ht="13.8" hidden="false" customHeight="false" outlineLevel="0" collapsed="false">
      <c r="M60" s="60"/>
      <c r="N60" s="60"/>
    </row>
    <row r="61" customFormat="false" ht="13.8" hidden="false" customHeight="false" outlineLevel="0" collapsed="false">
      <c r="M61" s="60"/>
      <c r="N61" s="60"/>
    </row>
    <row r="62" customFormat="false" ht="13.8" hidden="false" customHeight="false" outlineLevel="0" collapsed="false">
      <c r="M62" s="60"/>
      <c r="N62" s="60"/>
    </row>
    <row r="63" customFormat="false" ht="13.8" hidden="false" customHeight="false" outlineLevel="0" collapsed="false">
      <c r="M63" s="60"/>
      <c r="N63" s="60"/>
    </row>
    <row r="64" customFormat="false" ht="13.8" hidden="false" customHeight="false" outlineLevel="0" collapsed="false">
      <c r="M64" s="60"/>
      <c r="N64" s="60"/>
    </row>
    <row r="65" customFormat="false" ht="13.8" hidden="false" customHeight="false" outlineLevel="0" collapsed="false">
      <c r="M65" s="60"/>
      <c r="N65" s="60"/>
    </row>
    <row r="66" customFormat="false" ht="13.8" hidden="false" customHeight="false" outlineLevel="0" collapsed="false">
      <c r="M66" s="60"/>
      <c r="N66" s="60"/>
    </row>
    <row r="67" customFormat="false" ht="13.8" hidden="false" customHeight="false" outlineLevel="0" collapsed="false">
      <c r="M67" s="60"/>
      <c r="N67" s="60"/>
    </row>
    <row r="68" customFormat="false" ht="13.8" hidden="false" customHeight="false" outlineLevel="0" collapsed="false">
      <c r="M68" s="60"/>
      <c r="N68" s="60"/>
    </row>
    <row r="69" customFormat="false" ht="13.8" hidden="false" customHeight="false" outlineLevel="0" collapsed="false">
      <c r="M69" s="60"/>
      <c r="N69" s="60"/>
    </row>
    <row r="70" customFormat="false" ht="13.8" hidden="false" customHeight="false" outlineLevel="0" collapsed="false">
      <c r="M70" s="60"/>
      <c r="N70" s="60"/>
    </row>
    <row r="71" customFormat="false" ht="13.8" hidden="false" customHeight="false" outlineLevel="0" collapsed="false">
      <c r="M71" s="60"/>
      <c r="N71" s="60"/>
    </row>
    <row r="72" customFormat="false" ht="13.8" hidden="false" customHeight="false" outlineLevel="0" collapsed="false">
      <c r="M72" s="60"/>
      <c r="N72" s="60"/>
    </row>
    <row r="73" customFormat="false" ht="13.8" hidden="false" customHeight="false" outlineLevel="0" collapsed="false">
      <c r="M73" s="60"/>
      <c r="N73" s="60"/>
    </row>
    <row r="74" customFormat="false" ht="13.8" hidden="false" customHeight="false" outlineLevel="0" collapsed="false">
      <c r="M74" s="60"/>
      <c r="N74" s="60"/>
    </row>
    <row r="75" customFormat="false" ht="13.8" hidden="false" customHeight="false" outlineLevel="0" collapsed="false">
      <c r="M75" s="60"/>
      <c r="N75" s="60"/>
    </row>
    <row r="76" customFormat="false" ht="13.8" hidden="false" customHeight="false" outlineLevel="0" collapsed="false">
      <c r="M76" s="60"/>
      <c r="N76" s="60"/>
    </row>
    <row r="77" customFormat="false" ht="13.8" hidden="false" customHeight="false" outlineLevel="0" collapsed="false">
      <c r="M77" s="60"/>
      <c r="N77" s="60"/>
    </row>
    <row r="78" customFormat="false" ht="13.8" hidden="false" customHeight="false" outlineLevel="0" collapsed="false">
      <c r="M78" s="60"/>
      <c r="N78" s="60"/>
    </row>
    <row r="79" customFormat="false" ht="13.8" hidden="false" customHeight="false" outlineLevel="0" collapsed="false">
      <c r="M79" s="60"/>
      <c r="N79" s="60"/>
    </row>
    <row r="80" customFormat="false" ht="13.8" hidden="false" customHeight="false" outlineLevel="0" collapsed="false">
      <c r="M80" s="60"/>
      <c r="N80" s="60"/>
    </row>
    <row r="81" customFormat="false" ht="13.8" hidden="false" customHeight="false" outlineLevel="0" collapsed="false">
      <c r="M81" s="60"/>
      <c r="N81" s="60"/>
    </row>
    <row r="82" customFormat="false" ht="13.8" hidden="false" customHeight="false" outlineLevel="0" collapsed="false">
      <c r="M82" s="60"/>
      <c r="N82" s="60"/>
    </row>
    <row r="83" customFormat="false" ht="13.8" hidden="false" customHeight="false" outlineLevel="0" collapsed="false">
      <c r="M83" s="60"/>
      <c r="N83" s="60"/>
    </row>
    <row r="84" customFormat="false" ht="13.8" hidden="false" customHeight="false" outlineLevel="0" collapsed="false">
      <c r="M84" s="60"/>
      <c r="N84" s="60"/>
    </row>
    <row r="85" customFormat="false" ht="13.8" hidden="false" customHeight="false" outlineLevel="0" collapsed="false">
      <c r="M85" s="60"/>
      <c r="N85" s="60"/>
    </row>
    <row r="86" customFormat="false" ht="13.8" hidden="false" customHeight="false" outlineLevel="0" collapsed="false">
      <c r="M86" s="60"/>
      <c r="N86" s="60"/>
    </row>
    <row r="87" customFormat="false" ht="13.8" hidden="false" customHeight="false" outlineLevel="0" collapsed="false">
      <c r="M87" s="60"/>
      <c r="N87" s="60"/>
    </row>
    <row r="88" customFormat="false" ht="13.8" hidden="false" customHeight="false" outlineLevel="0" collapsed="false">
      <c r="M88" s="60"/>
      <c r="N88" s="60"/>
    </row>
    <row r="89" customFormat="false" ht="13.8" hidden="false" customHeight="false" outlineLevel="0" collapsed="false">
      <c r="M89" s="60"/>
      <c r="N89" s="60"/>
    </row>
    <row r="90" customFormat="false" ht="13.8" hidden="false" customHeight="false" outlineLevel="0" collapsed="false">
      <c r="M90" s="60"/>
      <c r="N90" s="60"/>
    </row>
    <row r="91" customFormat="false" ht="13.8" hidden="false" customHeight="false" outlineLevel="0" collapsed="false">
      <c r="M91" s="60"/>
      <c r="N91" s="60"/>
    </row>
    <row r="92" customFormat="false" ht="13.8" hidden="false" customHeight="false" outlineLevel="0" collapsed="false">
      <c r="M92" s="60"/>
      <c r="N92" s="60"/>
    </row>
    <row r="93" customFormat="false" ht="13.8" hidden="false" customHeight="false" outlineLevel="0" collapsed="false">
      <c r="M93" s="60"/>
      <c r="N93" s="60"/>
    </row>
  </sheetData>
  <mergeCells count="54">
    <mergeCell ref="B7:C7"/>
    <mergeCell ref="D7:E7"/>
    <mergeCell ref="B8:C12"/>
    <mergeCell ref="D8:E8"/>
    <mergeCell ref="D9:E9"/>
    <mergeCell ref="D10:E10"/>
    <mergeCell ref="D11:E11"/>
    <mergeCell ref="D12:E12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5:G35"/>
    <mergeCell ref="I35:N35"/>
    <mergeCell ref="B36:C36"/>
    <mergeCell ref="I36:J36"/>
    <mergeCell ref="B37:C37"/>
    <mergeCell ref="I37:J37"/>
    <mergeCell ref="B38:C38"/>
    <mergeCell ref="I38:J38"/>
    <mergeCell ref="B39:C39"/>
    <mergeCell ref="I39:J39"/>
    <mergeCell ref="B40:C40"/>
    <mergeCell ref="I40:J40"/>
    <mergeCell ref="B41:C41"/>
    <mergeCell ref="I41:J41"/>
    <mergeCell ref="B42:C42"/>
    <mergeCell ref="I42:J42"/>
    <mergeCell ref="B44:G44"/>
    <mergeCell ref="I44:N44"/>
    <mergeCell ref="B45:C45"/>
    <mergeCell ref="I45:J45"/>
    <mergeCell ref="B46:C46"/>
    <mergeCell ref="I46:J46"/>
    <mergeCell ref="B47:C47"/>
    <mergeCell ref="I47:J47"/>
    <mergeCell ref="B48:C48"/>
    <mergeCell ref="I48:J48"/>
    <mergeCell ref="B49:C49"/>
    <mergeCell ref="I49:J49"/>
    <mergeCell ref="B50:C50"/>
    <mergeCell ref="I50:J50"/>
    <mergeCell ref="B51:C51"/>
    <mergeCell ref="I51:J51"/>
  </mergeCells>
  <conditionalFormatting sqref="E10 E8">
    <cfRule type="expression" priority="2" aboveAverage="0" equalAverage="0" bottom="0" percent="0" rank="0" text="" dxfId="7">
      <formula>$D$10=""</formula>
    </cfRule>
  </conditionalFormatting>
  <conditionalFormatting sqref="E12">
    <cfRule type="expression" priority="3" aboveAverage="0" equalAverage="0" bottom="0" percent="0" rank="0" text="" dxfId="8">
      <formula>$D$12=""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B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3" activeCellId="0" sqref="I23"/>
    </sheetView>
  </sheetViews>
  <sheetFormatPr defaultColWidth="8.546875" defaultRowHeight="13.5" zeroHeight="false" outlineLevelRow="0" outlineLevelCol="0"/>
  <cols>
    <col collapsed="false" customWidth="true" hidden="false" outlineLevel="0" max="1" min="1" style="0" width="2.87"/>
    <col collapsed="false" customWidth="true" hidden="false" outlineLevel="0" max="2" min="2" style="0" width="28.98"/>
    <col collapsed="false" customWidth="true" hidden="false" outlineLevel="0" max="3" min="3" style="0" width="10.12"/>
    <col collapsed="false" customWidth="true" hidden="false" outlineLevel="0" max="4" min="4" style="0" width="10.07"/>
    <col collapsed="false" customWidth="true" hidden="false" outlineLevel="0" max="5" min="5" style="0" width="8.12"/>
    <col collapsed="false" customWidth="true" hidden="false" outlineLevel="0" max="6" min="6" style="0" width="28.09"/>
    <col collapsed="false" customWidth="true" hidden="false" outlineLevel="0" max="7" min="7" style="0" width="12.12"/>
    <col collapsed="false" customWidth="true" hidden="false" outlineLevel="0" max="8" min="8" style="0" width="10.61"/>
    <col collapsed="false" customWidth="true" hidden="false" outlineLevel="0" max="9" min="9" style="0" width="8.12"/>
    <col collapsed="false" customWidth="true" hidden="false" outlineLevel="0" max="10" min="10" style="0" width="0.13"/>
    <col collapsed="false" customWidth="true" hidden="false" outlineLevel="0" max="11" min="11" style="0" width="8.12"/>
  </cols>
  <sheetData>
    <row r="2" customFormat="false" ht="19.7" hidden="false" customHeight="false" outlineLevel="0" collapsed="false">
      <c r="A2" s="61" t="s">
        <v>123</v>
      </c>
      <c r="K2" s="86"/>
    </row>
    <row r="3" customFormat="false" ht="18.75" hidden="false" customHeight="false" outlineLevel="0" collapsed="false">
      <c r="B3" s="61"/>
    </row>
    <row r="4" customFormat="false" ht="13.8" hidden="false" customHeight="false" outlineLevel="0" collapsed="false">
      <c r="B4" s="60" t="s">
        <v>124</v>
      </c>
    </row>
    <row r="5" customFormat="false" ht="13.8" hidden="false" customHeight="false" outlineLevel="0" collapsed="false">
      <c r="B5" s="63" t="s">
        <v>125</v>
      </c>
      <c r="C5" s="63" t="s">
        <v>126</v>
      </c>
      <c r="D5" s="63" t="s">
        <v>127</v>
      </c>
    </row>
    <row r="6" customFormat="false" ht="13.8" hidden="false" customHeight="false" outlineLevel="0" collapsed="false">
      <c r="B6" s="87" t="s">
        <v>128</v>
      </c>
      <c r="C6" s="88" t="s">
        <v>129</v>
      </c>
      <c r="D6" s="68" t="n">
        <v>30000</v>
      </c>
    </row>
    <row r="7" customFormat="false" ht="13.8" hidden="false" customHeight="false" outlineLevel="0" collapsed="false">
      <c r="B7" s="87" t="s">
        <v>130</v>
      </c>
      <c r="C7" s="88" t="s">
        <v>129</v>
      </c>
      <c r="D7" s="68" t="n">
        <v>20000</v>
      </c>
    </row>
    <row r="8" customFormat="false" ht="13.8" hidden="false" customHeight="false" outlineLevel="0" collapsed="false">
      <c r="B8" s="87" t="s">
        <v>131</v>
      </c>
      <c r="C8" s="88" t="s">
        <v>129</v>
      </c>
      <c r="D8" s="68" t="n">
        <v>10000</v>
      </c>
    </row>
    <row r="9" customFormat="false" ht="13.5" hidden="false" customHeight="false" outlineLevel="0" collapsed="false">
      <c r="C9" s="89"/>
    </row>
    <row r="10" customFormat="false" ht="15" hidden="false" customHeight="false" outlineLevel="0" collapsed="false">
      <c r="B10" s="90" t="s">
        <v>132</v>
      </c>
      <c r="C10" s="90"/>
      <c r="D10" s="90"/>
      <c r="F10" s="90" t="s">
        <v>133</v>
      </c>
      <c r="G10" s="90"/>
      <c r="H10" s="90"/>
      <c r="K10" s="60"/>
      <c r="L10" s="75" t="n">
        <v>1</v>
      </c>
      <c r="M10" s="75" t="n">
        <v>2</v>
      </c>
      <c r="N10" s="75" t="n">
        <v>3</v>
      </c>
      <c r="O10" s="75" t="n">
        <v>4</v>
      </c>
      <c r="P10" s="75" t="n">
        <v>5</v>
      </c>
      <c r="Q10" s="75" t="n">
        <v>6</v>
      </c>
      <c r="R10" s="75" t="n">
        <v>7</v>
      </c>
      <c r="S10" s="75" t="n">
        <v>8</v>
      </c>
      <c r="T10" s="75" t="n">
        <v>9</v>
      </c>
      <c r="U10" s="75" t="n">
        <v>10</v>
      </c>
      <c r="V10" s="75" t="n">
        <v>11</v>
      </c>
      <c r="W10" s="75" t="n">
        <v>12</v>
      </c>
      <c r="X10" s="75" t="n">
        <v>13</v>
      </c>
      <c r="Y10" s="75" t="n">
        <v>14</v>
      </c>
      <c r="Z10" s="75" t="n">
        <v>15</v>
      </c>
      <c r="AA10" s="75" t="n">
        <v>16</v>
      </c>
      <c r="AB10" s="75" t="n">
        <v>17</v>
      </c>
    </row>
    <row r="11" customFormat="false" ht="13.8" hidden="false" customHeight="false" outlineLevel="0" collapsed="false">
      <c r="B11" s="63" t="s">
        <v>125</v>
      </c>
      <c r="C11" s="91" t="s">
        <v>134</v>
      </c>
      <c r="D11" s="63" t="s">
        <v>135</v>
      </c>
      <c r="F11" s="63" t="s">
        <v>125</v>
      </c>
      <c r="G11" s="91" t="s">
        <v>134</v>
      </c>
      <c r="H11" s="63" t="s">
        <v>135</v>
      </c>
      <c r="K11" s="75"/>
      <c r="L11" s="75" t="n">
        <f aca="false">A11</f>
        <v>0</v>
      </c>
      <c r="M11" s="75" t="n">
        <f aca="false">A11</f>
        <v>0</v>
      </c>
      <c r="N11" s="75" t="n">
        <f aca="false">A11</f>
        <v>0</v>
      </c>
      <c r="O11" s="75" t="str">
        <f aca="false">H11</f>
        <v>賃金/月</v>
      </c>
      <c r="P11" s="75" t="str">
        <f aca="false">H11</f>
        <v>賃金/月</v>
      </c>
      <c r="Q11" s="75" t="str">
        <f aca="false">H11</f>
        <v>賃金/月</v>
      </c>
      <c r="R11" s="75" t="n">
        <f aca="false">A20</f>
        <v>0</v>
      </c>
      <c r="S11" s="75" t="n">
        <f aca="false">A20</f>
        <v>0</v>
      </c>
      <c r="T11" s="75" t="n">
        <f aca="false">H20</f>
        <v>40000</v>
      </c>
      <c r="U11" s="75" t="n">
        <f aca="false">T11*1.05</f>
        <v>42000</v>
      </c>
      <c r="V11" s="75" t="n">
        <f aca="false">U11*1.05</f>
        <v>44100</v>
      </c>
      <c r="W11" s="75" t="n">
        <f aca="false">V11*1.05</f>
        <v>46305</v>
      </c>
      <c r="X11" s="75" t="n">
        <f aca="false">W11*1.05</f>
        <v>48620.25</v>
      </c>
      <c r="Y11" s="75" t="n">
        <f aca="false">X11*1.05</f>
        <v>51051.2625</v>
      </c>
      <c r="Z11" s="75" t="n">
        <f aca="false">Y11*1.05</f>
        <v>53603.825625</v>
      </c>
      <c r="AA11" s="75" t="n">
        <f aca="false">Z11*1.05</f>
        <v>56284.01690625</v>
      </c>
      <c r="AB11" s="75" t="n">
        <f aca="false">AA11*1.05</f>
        <v>59098.2177515625</v>
      </c>
    </row>
    <row r="12" customFormat="false" ht="13.8" hidden="false" customHeight="false" outlineLevel="0" collapsed="false">
      <c r="B12" s="36" t="str">
        <f aca="false">B6</f>
        <v>演奏費</v>
      </c>
      <c r="C12" s="92" t="n">
        <f aca="false">③売上・原価!M37*4</f>
        <v>4</v>
      </c>
      <c r="D12" s="93" t="n">
        <f aca="false">$D6*C12</f>
        <v>120000</v>
      </c>
      <c r="F12" s="36" t="str">
        <f aca="false">B6</f>
        <v>演奏費</v>
      </c>
      <c r="G12" s="92" t="n">
        <f aca="false">③売上・原価!M37*4+③売上・原価!M39*3*2</f>
        <v>28</v>
      </c>
      <c r="H12" s="93" t="n">
        <f aca="false">$D6*G12</f>
        <v>840000</v>
      </c>
      <c r="K12" s="36" t="str">
        <f aca="false">B6</f>
        <v>演奏費</v>
      </c>
      <c r="L12" s="80" t="n">
        <f aca="false">D12</f>
        <v>120000</v>
      </c>
      <c r="M12" s="75" t="n">
        <f aca="false">D12</f>
        <v>120000</v>
      </c>
      <c r="N12" s="75" t="n">
        <f aca="false">D12</f>
        <v>120000</v>
      </c>
      <c r="O12" s="75" t="n">
        <f aca="false">H12</f>
        <v>840000</v>
      </c>
      <c r="P12" s="75" t="n">
        <f aca="false">H12</f>
        <v>840000</v>
      </c>
      <c r="Q12" s="75" t="n">
        <f aca="false">H12</f>
        <v>840000</v>
      </c>
      <c r="R12" s="75" t="n">
        <f aca="false">D19</f>
        <v>1200000</v>
      </c>
      <c r="S12" s="75" t="n">
        <f aca="false">D19</f>
        <v>1200000</v>
      </c>
      <c r="T12" s="75" t="n">
        <f aca="false">H19</f>
        <v>600000</v>
      </c>
      <c r="U12" s="75" t="n">
        <f aca="false">T12*1.05</f>
        <v>630000</v>
      </c>
      <c r="V12" s="75" t="n">
        <f aca="false">U12*1.05</f>
        <v>661500</v>
      </c>
      <c r="W12" s="75" t="n">
        <f aca="false">V12*1.05</f>
        <v>694575</v>
      </c>
      <c r="X12" s="75" t="n">
        <f aca="false">W12*1.05</f>
        <v>729303.75</v>
      </c>
      <c r="Y12" s="75" t="n">
        <f aca="false">X12*1.05</f>
        <v>765768.9375</v>
      </c>
      <c r="Z12" s="75" t="n">
        <f aca="false">Y12*1.05</f>
        <v>804057.384375</v>
      </c>
      <c r="AA12" s="75" t="n">
        <f aca="false">Z12*1.05</f>
        <v>844260.25359375</v>
      </c>
      <c r="AB12" s="75" t="n">
        <f aca="false">AA12*1.05</f>
        <v>886473.266273438</v>
      </c>
    </row>
    <row r="13" customFormat="false" ht="13.8" hidden="false" customHeight="false" outlineLevel="0" collapsed="false">
      <c r="B13" s="36" t="str">
        <f aca="false">B7</f>
        <v>配信委託費</v>
      </c>
      <c r="C13" s="92" t="n">
        <v>0</v>
      </c>
      <c r="D13" s="93" t="n">
        <f aca="false">$D7*C13</f>
        <v>0</v>
      </c>
      <c r="F13" s="36" t="str">
        <f aca="false">B7</f>
        <v>配信委託費</v>
      </c>
      <c r="G13" s="92" t="n">
        <f aca="false">③売上・原価!M39*3</f>
        <v>12</v>
      </c>
      <c r="H13" s="93" t="n">
        <f aca="false">$D7*G13</f>
        <v>240000</v>
      </c>
      <c r="K13" s="36" t="str">
        <f aca="false">B7</f>
        <v>配信委託費</v>
      </c>
      <c r="L13" s="80" t="n">
        <f aca="false">D13</f>
        <v>0</v>
      </c>
      <c r="M13" s="80" t="n">
        <f aca="false">D13</f>
        <v>0</v>
      </c>
      <c r="N13" s="80" t="n">
        <f aca="false">D13</f>
        <v>0</v>
      </c>
      <c r="O13" s="75" t="n">
        <f aca="false">H13</f>
        <v>240000</v>
      </c>
      <c r="P13" s="75" t="n">
        <f aca="false">H13</f>
        <v>240000</v>
      </c>
      <c r="Q13" s="75" t="n">
        <f aca="false">H13</f>
        <v>240000</v>
      </c>
      <c r="R13" s="75" t="n">
        <f aca="false">D20</f>
        <v>240000</v>
      </c>
      <c r="S13" s="75" t="n">
        <f aca="false">D20</f>
        <v>240000</v>
      </c>
      <c r="T13" s="75" t="n">
        <f aca="false">H20</f>
        <v>40000</v>
      </c>
      <c r="U13" s="75" t="n">
        <f aca="false">H20</f>
        <v>40000</v>
      </c>
      <c r="V13" s="75" t="n">
        <f aca="false">H20</f>
        <v>40000</v>
      </c>
      <c r="W13" s="75" t="n">
        <f aca="false">H20</f>
        <v>40000</v>
      </c>
      <c r="X13" s="75" t="n">
        <f aca="false">H20</f>
        <v>40000</v>
      </c>
      <c r="Y13" s="75" t="n">
        <f aca="false">H20</f>
        <v>40000</v>
      </c>
      <c r="Z13" s="75" t="n">
        <f aca="false">H20</f>
        <v>40000</v>
      </c>
      <c r="AA13" s="75" t="n">
        <f aca="false">H20</f>
        <v>40000</v>
      </c>
      <c r="AB13" s="75" t="n">
        <f aca="false">H20</f>
        <v>40000</v>
      </c>
    </row>
    <row r="14" customFormat="false" ht="13.8" hidden="false" customHeight="false" outlineLevel="0" collapsed="false">
      <c r="B14" s="36" t="str">
        <f aca="false">B8</f>
        <v>広告・稽古場使用料</v>
      </c>
      <c r="C14" s="92" t="n">
        <v>0</v>
      </c>
      <c r="D14" s="93" t="n">
        <f aca="false">$D8*C14</f>
        <v>0</v>
      </c>
      <c r="F14" s="36" t="str">
        <f aca="false">B8</f>
        <v>広告・稽古場使用料</v>
      </c>
      <c r="G14" s="92" t="n">
        <f aca="false">③売上・原価!M39*3</f>
        <v>12</v>
      </c>
      <c r="H14" s="93" t="n">
        <f aca="false">$D8*G14</f>
        <v>120000</v>
      </c>
      <c r="K14" s="36" t="str">
        <f aca="false">B8</f>
        <v>広告・稽古場使用料</v>
      </c>
      <c r="L14" s="80" t="n">
        <f aca="false">D14</f>
        <v>0</v>
      </c>
      <c r="M14" s="80" t="n">
        <f aca="false">D14</f>
        <v>0</v>
      </c>
      <c r="N14" s="80" t="n">
        <f aca="false">D14</f>
        <v>0</v>
      </c>
      <c r="O14" s="75" t="n">
        <f aca="false">H14</f>
        <v>120000</v>
      </c>
      <c r="P14" s="75" t="n">
        <f aca="false">H14</f>
        <v>120000</v>
      </c>
      <c r="Q14" s="75" t="n">
        <f aca="false">H14</f>
        <v>120000</v>
      </c>
      <c r="R14" s="75" t="n">
        <f aca="false">D21</f>
        <v>120000</v>
      </c>
      <c r="S14" s="75" t="n">
        <f aca="false">D21</f>
        <v>120000</v>
      </c>
      <c r="T14" s="75" t="n">
        <f aca="false">H21</f>
        <v>20000</v>
      </c>
      <c r="U14" s="75" t="n">
        <f aca="false">H21</f>
        <v>20000</v>
      </c>
      <c r="V14" s="75" t="n">
        <f aca="false">H21</f>
        <v>20000</v>
      </c>
      <c r="W14" s="75" t="n">
        <f aca="false">H21</f>
        <v>20000</v>
      </c>
      <c r="X14" s="75" t="n">
        <f aca="false">H21</f>
        <v>20000</v>
      </c>
      <c r="Y14" s="75" t="n">
        <f aca="false">H21</f>
        <v>20000</v>
      </c>
      <c r="Z14" s="75" t="n">
        <f aca="false">H21</f>
        <v>20000</v>
      </c>
      <c r="AA14" s="75" t="n">
        <f aca="false">H21</f>
        <v>20000</v>
      </c>
      <c r="AB14" s="75" t="n">
        <f aca="false">H21</f>
        <v>20000</v>
      </c>
    </row>
    <row r="15" customFormat="false" ht="13.8" hidden="false" customHeight="false" outlineLevel="0" collapsed="false">
      <c r="B15" s="94" t="s">
        <v>120</v>
      </c>
      <c r="C15" s="95" t="n">
        <f aca="false">SUM(C12:C14)</f>
        <v>4</v>
      </c>
      <c r="D15" s="96" t="n">
        <f aca="false">SUM(D12:D14)</f>
        <v>120000</v>
      </c>
      <c r="E15" s="97"/>
      <c r="F15" s="94" t="s">
        <v>120</v>
      </c>
      <c r="G15" s="95" t="n">
        <f aca="false">SUM(G12:G14)</f>
        <v>52</v>
      </c>
      <c r="H15" s="96" t="n">
        <f aca="false">SUM(H12:H14)</f>
        <v>1200000</v>
      </c>
      <c r="K15" s="36" t="s">
        <v>120</v>
      </c>
      <c r="L15" s="36" t="n">
        <f aca="false">SUM(L11:L14)</f>
        <v>120000</v>
      </c>
      <c r="M15" s="36" t="n">
        <f aca="false">SUM(M11:M14)</f>
        <v>120000</v>
      </c>
      <c r="N15" s="36" t="n">
        <f aca="false">SUM(N11:N14)</f>
        <v>120000</v>
      </c>
      <c r="O15" s="36" t="n">
        <f aca="false">SUM(O11:O14)</f>
        <v>1200000</v>
      </c>
      <c r="P15" s="36" t="n">
        <f aca="false">SUM(P11:P14)</f>
        <v>1200000</v>
      </c>
      <c r="Q15" s="36" t="n">
        <f aca="false">SUM(Q11:Q14)</f>
        <v>1200000</v>
      </c>
      <c r="R15" s="36" t="n">
        <f aca="false">SUM(R11:R14)</f>
        <v>1560000</v>
      </c>
      <c r="S15" s="36" t="n">
        <f aca="false">SUM(S11:S14)</f>
        <v>1560000</v>
      </c>
      <c r="T15" s="36" t="n">
        <f aca="false">SUM(T11:T14)</f>
        <v>700000</v>
      </c>
      <c r="U15" s="36" t="n">
        <f aca="false">SUM(U11:U14)</f>
        <v>732000</v>
      </c>
      <c r="V15" s="36" t="n">
        <f aca="false">SUM(V11:V14)</f>
        <v>765600</v>
      </c>
      <c r="W15" s="36" t="n">
        <f aca="false">SUM(W11:W14)</f>
        <v>800880</v>
      </c>
      <c r="X15" s="36" t="n">
        <f aca="false">SUM(X11:X14)</f>
        <v>837924</v>
      </c>
      <c r="Y15" s="36" t="n">
        <f aca="false">SUM(Y11:Y14)</f>
        <v>876820.2</v>
      </c>
      <c r="Z15" s="36" t="n">
        <f aca="false">SUM(Z11:Z14)</f>
        <v>917661.21</v>
      </c>
      <c r="AA15" s="36" t="n">
        <f aca="false">SUM(AA11:AA14)</f>
        <v>960544.2705</v>
      </c>
      <c r="AB15" s="36" t="n">
        <f aca="false">SUM(AB11:AB14)</f>
        <v>1005571.484025</v>
      </c>
    </row>
    <row r="16" customFormat="false" ht="13.8" hidden="false" customHeight="false" outlineLevel="0" collapsed="false">
      <c r="B16" s="98"/>
      <c r="C16" s="98"/>
      <c r="D16" s="97"/>
      <c r="E16" s="97"/>
      <c r="F16" s="99"/>
      <c r="G16" s="100"/>
      <c r="H16" s="60"/>
      <c r="I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customFormat="false" ht="15" hidden="false" customHeight="false" outlineLevel="0" collapsed="false">
      <c r="B17" s="90" t="s">
        <v>121</v>
      </c>
      <c r="C17" s="90"/>
      <c r="D17" s="90"/>
      <c r="F17" s="90" t="s">
        <v>136</v>
      </c>
      <c r="G17" s="90"/>
      <c r="H17" s="90"/>
      <c r="I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customFormat="false" ht="13.8" hidden="false" customHeight="false" outlineLevel="0" collapsed="false">
      <c r="B18" s="63" t="s">
        <v>125</v>
      </c>
      <c r="C18" s="91" t="s">
        <v>134</v>
      </c>
      <c r="D18" s="63" t="s">
        <v>135</v>
      </c>
      <c r="F18" s="63" t="s">
        <v>125</v>
      </c>
      <c r="G18" s="91" t="s">
        <v>134</v>
      </c>
      <c r="H18" s="63" t="s">
        <v>135</v>
      </c>
      <c r="I18" s="60"/>
      <c r="K18" s="60"/>
      <c r="L18" s="75" t="n">
        <v>4</v>
      </c>
      <c r="M18" s="75" t="n">
        <v>5</v>
      </c>
      <c r="N18" s="75" t="n">
        <v>6</v>
      </c>
      <c r="O18" s="75" t="n">
        <v>7</v>
      </c>
      <c r="P18" s="75" t="n">
        <v>8</v>
      </c>
      <c r="Q18" s="75" t="n">
        <v>9</v>
      </c>
      <c r="R18" s="75" t="n">
        <v>10</v>
      </c>
      <c r="S18" s="75" t="n">
        <v>11</v>
      </c>
      <c r="T18" s="75" t="n">
        <v>12</v>
      </c>
      <c r="U18" s="75" t="n">
        <v>1</v>
      </c>
      <c r="V18" s="75" t="n">
        <v>2</v>
      </c>
      <c r="W18" s="75" t="n">
        <v>3</v>
      </c>
      <c r="X18" s="75" t="n">
        <v>4</v>
      </c>
      <c r="Y18" s="75" t="n">
        <v>5</v>
      </c>
      <c r="Z18" s="75" t="n">
        <v>6</v>
      </c>
      <c r="AA18" s="75" t="n">
        <v>7</v>
      </c>
      <c r="AB18" s="75" t="n">
        <v>8</v>
      </c>
    </row>
    <row r="19" customFormat="false" ht="13.8" hidden="false" customHeight="false" outlineLevel="0" collapsed="false">
      <c r="B19" s="36" t="str">
        <f aca="false">B6</f>
        <v>演奏費</v>
      </c>
      <c r="C19" s="92" t="n">
        <f aca="false">③売上・原価!F46*4+③売上・原価!F48*3*2</f>
        <v>40</v>
      </c>
      <c r="D19" s="93" t="n">
        <f aca="false">D6*C19</f>
        <v>1200000</v>
      </c>
      <c r="F19" s="36" t="str">
        <f aca="false">B6</f>
        <v>演奏費</v>
      </c>
      <c r="G19" s="92" t="n">
        <f aca="false">③売上・原価!M46*4</f>
        <v>20</v>
      </c>
      <c r="H19" s="93" t="n">
        <f aca="false">D6*G19</f>
        <v>600000</v>
      </c>
      <c r="I19" s="60"/>
    </row>
    <row r="20" customFormat="false" ht="13.8" hidden="false" customHeight="false" outlineLevel="0" collapsed="false">
      <c r="B20" s="36" t="str">
        <f aca="false">B7</f>
        <v>配信委託費</v>
      </c>
      <c r="C20" s="92" t="n">
        <f aca="false">③売上・原価!F48*3</f>
        <v>12</v>
      </c>
      <c r="D20" s="93" t="n">
        <f aca="false">D7*C20</f>
        <v>240000</v>
      </c>
      <c r="F20" s="36" t="str">
        <f aca="false">B7</f>
        <v>配信委託費</v>
      </c>
      <c r="G20" s="92" t="n">
        <v>2</v>
      </c>
      <c r="H20" s="93" t="n">
        <f aca="false">D7*G20</f>
        <v>40000</v>
      </c>
      <c r="I20" s="60"/>
    </row>
    <row r="21" customFormat="false" ht="13.8" hidden="false" customHeight="false" outlineLevel="0" collapsed="false">
      <c r="B21" s="36" t="str">
        <f aca="false">B8</f>
        <v>広告・稽古場使用料</v>
      </c>
      <c r="C21" s="92" t="n">
        <f aca="false">③売上・原価!F48*3</f>
        <v>12</v>
      </c>
      <c r="D21" s="93" t="n">
        <f aca="false">D8*C21</f>
        <v>120000</v>
      </c>
      <c r="F21" s="36" t="str">
        <f aca="false">B8</f>
        <v>広告・稽古場使用料</v>
      </c>
      <c r="G21" s="92" t="n">
        <v>2</v>
      </c>
      <c r="H21" s="93" t="n">
        <f aca="false">D8*G21</f>
        <v>20000</v>
      </c>
      <c r="I21" s="60"/>
    </row>
    <row r="22" customFormat="false" ht="13.8" hidden="false" customHeight="false" outlineLevel="0" collapsed="false">
      <c r="B22" s="94" t="s">
        <v>120</v>
      </c>
      <c r="C22" s="95" t="n">
        <f aca="false">SUM(C19:C21)</f>
        <v>64</v>
      </c>
      <c r="D22" s="96" t="n">
        <f aca="false">SUM(D19:D21)</f>
        <v>1560000</v>
      </c>
      <c r="E22" s="97"/>
      <c r="F22" s="94" t="s">
        <v>120</v>
      </c>
      <c r="G22" s="95" t="n">
        <f aca="false">SUM(G19:G21)</f>
        <v>24</v>
      </c>
      <c r="H22" s="96" t="n">
        <f aca="false">SUM(H19:H21)</f>
        <v>660000</v>
      </c>
    </row>
  </sheetData>
  <mergeCells count="4">
    <mergeCell ref="B10:D10"/>
    <mergeCell ref="F10:H10"/>
    <mergeCell ref="B17:D17"/>
    <mergeCell ref="F17:H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2"/>
  <sheetViews>
    <sheetView showFormulas="false" showGridLines="false" showRowColHeaders="true" showZeros="true" rightToLeft="false" tabSelected="false" showOutlineSymbols="true" defaultGridColor="true" view="normal" topLeftCell="A20" colorId="64" zoomScale="100" zoomScaleNormal="100" zoomScalePageLayoutView="100" workbookViewId="0">
      <selection pane="topLeft" activeCell="A1" activeCellId="0" sqref="A1"/>
    </sheetView>
  </sheetViews>
  <sheetFormatPr defaultColWidth="8.546875" defaultRowHeight="13.5" zeroHeight="false" outlineLevelRow="0" outlineLevelCol="0"/>
  <cols>
    <col collapsed="false" customWidth="true" hidden="false" outlineLevel="0" max="1" min="1" style="0" width="5.37"/>
    <col collapsed="false" customWidth="true" hidden="false" outlineLevel="0" max="2" min="2" style="0" width="4.26"/>
    <col collapsed="false" customWidth="true" hidden="false" outlineLevel="0" max="3" min="3" style="0" width="15.08"/>
    <col collapsed="false" customWidth="true" hidden="false" outlineLevel="0" max="4" min="4" style="60" width="21.89"/>
    <col collapsed="false" customWidth="true" hidden="false" outlineLevel="0" max="5" min="5" style="0" width="12.5"/>
    <col collapsed="false" customWidth="true" hidden="false" outlineLevel="0" max="6" min="6" style="60" width="11"/>
  </cols>
  <sheetData>
    <row r="1" customFormat="false" ht="13.5" hidden="false" customHeight="false" outlineLevel="0" collapsed="false">
      <c r="A1" s="101" t="s">
        <v>137</v>
      </c>
      <c r="B1" s="101"/>
      <c r="C1" s="101"/>
      <c r="D1" s="101"/>
    </row>
    <row r="2" customFormat="false" ht="13.5" hidden="false" customHeight="false" outlineLevel="0" collapsed="false">
      <c r="A2" s="101"/>
      <c r="B2" s="101"/>
      <c r="C2" s="101"/>
      <c r="D2" s="101"/>
    </row>
    <row r="3" customFormat="false" ht="13.5" hidden="false" customHeight="false" outlineLevel="0" collapsed="false">
      <c r="B3" s="102" t="s">
        <v>138</v>
      </c>
      <c r="C3" s="103"/>
      <c r="D3" s="63" t="s">
        <v>127</v>
      </c>
      <c r="F3" s="60" t="s">
        <v>139</v>
      </c>
    </row>
    <row r="4" customFormat="false" ht="13.8" hidden="false" customHeight="false" outlineLevel="0" collapsed="false">
      <c r="B4" s="104"/>
      <c r="C4" s="87" t="s">
        <v>140</v>
      </c>
      <c r="D4" s="75"/>
      <c r="F4" s="60" t="s">
        <v>141</v>
      </c>
    </row>
    <row r="5" customFormat="false" ht="13.8" hidden="false" customHeight="false" outlineLevel="0" collapsed="false">
      <c r="B5" s="104"/>
      <c r="C5" s="87" t="s">
        <v>142</v>
      </c>
      <c r="D5" s="75"/>
    </row>
    <row r="6" customFormat="false" ht="13.8" hidden="false" customHeight="false" outlineLevel="0" collapsed="false">
      <c r="B6" s="104"/>
      <c r="C6" s="87" t="s">
        <v>143</v>
      </c>
      <c r="D6" s="75"/>
    </row>
    <row r="7" customFormat="false" ht="13.8" hidden="false" customHeight="false" outlineLevel="0" collapsed="false">
      <c r="B7" s="104"/>
      <c r="C7" s="87" t="s">
        <v>144</v>
      </c>
      <c r="D7" s="75"/>
    </row>
    <row r="8" customFormat="false" ht="13.8" hidden="false" customHeight="false" outlineLevel="0" collapsed="false">
      <c r="B8" s="105"/>
      <c r="C8" s="87" t="s">
        <v>145</v>
      </c>
      <c r="D8" s="75"/>
    </row>
    <row r="9" customFormat="false" ht="13.5" hidden="false" customHeight="false" outlineLevel="0" collapsed="false">
      <c r="B9" s="106" t="s">
        <v>146</v>
      </c>
      <c r="C9" s="106"/>
      <c r="D9" s="75" t="n">
        <f aca="false">SUM(D4:D8)</f>
        <v>0</v>
      </c>
    </row>
    <row r="11" customFormat="false" ht="13.5" hidden="false" customHeight="false" outlineLevel="0" collapsed="false">
      <c r="B11" s="107" t="s">
        <v>147</v>
      </c>
      <c r="C11" s="108"/>
      <c r="D11" s="63" t="s">
        <v>127</v>
      </c>
    </row>
    <row r="12" customFormat="false" ht="13.8" hidden="false" customHeight="false" outlineLevel="0" collapsed="false">
      <c r="B12" s="104"/>
      <c r="C12" s="87" t="s">
        <v>148</v>
      </c>
      <c r="D12" s="75" t="n">
        <v>100000</v>
      </c>
    </row>
    <row r="13" customFormat="false" ht="13.8" hidden="false" customHeight="false" outlineLevel="0" collapsed="false">
      <c r="B13" s="104"/>
      <c r="C13" s="87"/>
      <c r="D13" s="75"/>
    </row>
    <row r="14" customFormat="false" ht="13.8" hidden="false" customHeight="false" outlineLevel="0" collapsed="false">
      <c r="B14" s="104"/>
      <c r="C14" s="87"/>
      <c r="D14" s="75"/>
    </row>
    <row r="15" customFormat="false" ht="13.8" hidden="false" customHeight="false" outlineLevel="0" collapsed="false">
      <c r="B15" s="104"/>
      <c r="C15" s="87"/>
      <c r="D15" s="75"/>
    </row>
    <row r="16" customFormat="false" ht="13.8" hidden="false" customHeight="false" outlineLevel="0" collapsed="false">
      <c r="B16" s="104"/>
      <c r="C16" s="87"/>
      <c r="D16" s="75"/>
    </row>
    <row r="17" customFormat="false" ht="13.5" hidden="false" customHeight="false" outlineLevel="0" collapsed="false">
      <c r="B17" s="104"/>
      <c r="C17" s="87"/>
      <c r="D17" s="75"/>
    </row>
    <row r="18" customFormat="false" ht="13.5" hidden="false" customHeight="false" outlineLevel="0" collapsed="false">
      <c r="B18" s="104"/>
      <c r="C18" s="87"/>
      <c r="D18" s="75"/>
    </row>
    <row r="19" customFormat="false" ht="13.5" hidden="false" customHeight="false" outlineLevel="0" collapsed="false">
      <c r="B19" s="104"/>
      <c r="C19" s="87"/>
      <c r="D19" s="75"/>
    </row>
    <row r="20" customFormat="false" ht="13.5" hidden="false" customHeight="false" outlineLevel="0" collapsed="false">
      <c r="B20" s="104"/>
      <c r="C20" s="87"/>
      <c r="D20" s="75"/>
    </row>
    <row r="21" customFormat="false" ht="13.5" hidden="false" customHeight="false" outlineLevel="0" collapsed="false">
      <c r="B21" s="105"/>
      <c r="C21" s="87"/>
      <c r="D21" s="75"/>
    </row>
    <row r="22" customFormat="false" ht="13.5" hidden="false" customHeight="false" outlineLevel="0" collapsed="false">
      <c r="B22" s="106" t="s">
        <v>146</v>
      </c>
      <c r="C22" s="106"/>
      <c r="D22" s="75" t="n">
        <f aca="false">SUM(D12:D21)</f>
        <v>100000</v>
      </c>
    </row>
    <row r="24" customFormat="false" ht="13.5" hidden="false" customHeight="false" outlineLevel="0" collapsed="false">
      <c r="B24" s="102" t="s">
        <v>149</v>
      </c>
      <c r="C24" s="103"/>
      <c r="D24" s="63" t="s">
        <v>127</v>
      </c>
    </row>
    <row r="25" customFormat="false" ht="13.5" hidden="false" customHeight="false" outlineLevel="0" collapsed="false">
      <c r="B25" s="104"/>
      <c r="C25" s="36" t="s">
        <v>150</v>
      </c>
      <c r="D25" s="75" t="n">
        <f aca="false">SUM(D5:D8)</f>
        <v>0</v>
      </c>
    </row>
    <row r="26" customFormat="false" ht="13.8" hidden="false" customHeight="false" outlineLevel="0" collapsed="false">
      <c r="B26" s="104"/>
      <c r="C26" s="87"/>
      <c r="D26" s="75"/>
    </row>
    <row r="27" customFormat="false" ht="13.5" hidden="false" customHeight="false" outlineLevel="0" collapsed="false">
      <c r="B27" s="104"/>
      <c r="C27" s="87"/>
      <c r="D27" s="75"/>
    </row>
    <row r="28" customFormat="false" ht="13.5" hidden="false" customHeight="false" outlineLevel="0" collapsed="false">
      <c r="B28" s="104"/>
      <c r="C28" s="87"/>
      <c r="D28" s="75"/>
    </row>
    <row r="29" customFormat="false" ht="13.5" hidden="false" customHeight="false" outlineLevel="0" collapsed="false">
      <c r="B29" s="105"/>
      <c r="C29" s="87"/>
      <c r="D29" s="75"/>
    </row>
    <row r="30" customFormat="false" ht="13.5" hidden="false" customHeight="false" outlineLevel="0" collapsed="false">
      <c r="B30" s="106" t="s">
        <v>146</v>
      </c>
      <c r="C30" s="106"/>
      <c r="D30" s="75" t="n">
        <f aca="false">SUM(D25:D29)</f>
        <v>0</v>
      </c>
    </row>
    <row r="32" customFormat="false" ht="13.5" hidden="false" customHeight="false" outlineLevel="0" collapsed="false">
      <c r="B32" s="106" t="s">
        <v>151</v>
      </c>
      <c r="C32" s="106"/>
      <c r="D32" s="75" t="n">
        <f aca="false">+D22+D9+D30</f>
        <v>100000</v>
      </c>
    </row>
  </sheetData>
  <mergeCells count="5">
    <mergeCell ref="A1:D2"/>
    <mergeCell ref="B9:C9"/>
    <mergeCell ref="B22:C22"/>
    <mergeCell ref="B30:C30"/>
    <mergeCell ref="B32:C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I10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8.546875" defaultRowHeight="17.25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15.39"/>
    <col collapsed="false" customWidth="true" hidden="false" outlineLevel="0" max="3" min="3" style="0" width="16.62"/>
    <col collapsed="false" customWidth="true" hidden="false" outlineLevel="0" max="4" min="4" style="0" width="13.88"/>
    <col collapsed="false" customWidth="true" hidden="false" outlineLevel="0" max="5" min="5" style="0" width="13.5"/>
    <col collapsed="false" customWidth="true" hidden="false" outlineLevel="0" max="6" min="6" style="0" width="12.26"/>
    <col collapsed="false" customWidth="true" hidden="false" outlineLevel="0" max="7" min="7" style="60" width="12.26"/>
    <col collapsed="false" customWidth="true" hidden="false" outlineLevel="0" max="8" min="8" style="0" width="13.88"/>
    <col collapsed="false" customWidth="true" hidden="false" outlineLevel="0" max="13" min="9" style="60" width="13.12"/>
  </cols>
  <sheetData>
    <row r="1" customFormat="false" ht="17.25" hidden="false" customHeight="true" outlineLevel="0" collapsed="false">
      <c r="A1" s="101" t="s">
        <v>152</v>
      </c>
      <c r="B1" s="101"/>
      <c r="C1" s="101"/>
    </row>
    <row r="2" customFormat="false" ht="17.25" hidden="false" customHeight="true" outlineLevel="0" collapsed="false">
      <c r="A2" s="101"/>
      <c r="B2" s="101"/>
      <c r="C2" s="101"/>
    </row>
    <row r="4" customFormat="false" ht="34.5" hidden="false" customHeight="true" outlineLevel="0" collapsed="false">
      <c r="B4" s="109" t="s">
        <v>153</v>
      </c>
      <c r="C4" s="109" t="s">
        <v>154</v>
      </c>
      <c r="D4" s="109" t="s">
        <v>155</v>
      </c>
      <c r="E4" s="109" t="s">
        <v>156</v>
      </c>
      <c r="F4" s="109" t="s">
        <v>157</v>
      </c>
      <c r="G4" s="110" t="s">
        <v>158</v>
      </c>
      <c r="H4" s="109" t="s">
        <v>159</v>
      </c>
      <c r="I4" s="110" t="s">
        <v>160</v>
      </c>
      <c r="J4" s="110" t="s">
        <v>161</v>
      </c>
      <c r="K4" s="110" t="s">
        <v>162</v>
      </c>
      <c r="L4" s="110" t="s">
        <v>163</v>
      </c>
      <c r="M4" s="110" t="s">
        <v>164</v>
      </c>
      <c r="AE4" s="111" t="s">
        <v>155</v>
      </c>
    </row>
    <row r="5" customFormat="false" ht="17.25" hidden="false" customHeight="true" outlineLevel="0" collapsed="false">
      <c r="B5" s="112" t="str">
        <f aca="false">IF(⑤初期投資一覧表!C12="","",⑤初期投資一覧表!C12)</f>
        <v>追加音響設備費</v>
      </c>
      <c r="C5" s="75" t="n">
        <f aca="false">IF(⑤初期投資一覧表!D12="",0,⑤初期投資一覧表!D12)</f>
        <v>100000</v>
      </c>
      <c r="D5" s="106" t="s">
        <v>165</v>
      </c>
      <c r="E5" s="88" t="n">
        <v>5</v>
      </c>
      <c r="F5" s="113" t="n">
        <f aca="false">+IF(OR(D5="",E5=""),0,IF(D5="定率法",VLOOKUP(E5,$AG$5:$AI$103,2,0),VLOOKUP(E5,$AG$5:$AI$103,3,0)))</f>
        <v>0.4</v>
      </c>
      <c r="G5" s="75" t="n">
        <f aca="false">IF(F5=0,0,①基礎情報!$C$6)</f>
        <v>8</v>
      </c>
      <c r="H5" s="114" t="n">
        <f aca="false">IF(F5=0,0,ROUNDDOWN(C5*F5/12,0))</f>
        <v>3333</v>
      </c>
      <c r="I5" s="75" t="n">
        <f aca="false">+H5*G5</f>
        <v>26664</v>
      </c>
      <c r="J5" s="75" t="n">
        <f aca="false">+C5-I5</f>
        <v>73336</v>
      </c>
      <c r="K5" s="75" t="n">
        <f aca="false">IF(D5="定率法",IF(E5=2,ROUNDDOWN((J5-1)/12,0),ROUNDDOWN(J5*F5/12,0)),H5)</f>
        <v>2444</v>
      </c>
      <c r="L5" s="75" t="n">
        <f aca="false">+K5*12</f>
        <v>29328</v>
      </c>
      <c r="M5" s="75" t="n">
        <f aca="false">+J5-K5*12</f>
        <v>44008</v>
      </c>
      <c r="AE5" s="0" t="s">
        <v>165</v>
      </c>
      <c r="AG5" s="115"/>
      <c r="AH5" s="0" t="s">
        <v>166</v>
      </c>
      <c r="AI5" s="0" t="s">
        <v>167</v>
      </c>
    </row>
    <row r="6" customFormat="false" ht="17.25" hidden="false" customHeight="true" outlineLevel="0" collapsed="false">
      <c r="B6" s="112" t="str">
        <f aca="false">IF(⑤初期投資一覧表!C13="","",⑤初期投資一覧表!C13)</f>
        <v/>
      </c>
      <c r="C6" s="75" t="n">
        <f aca="false">IF(⑤初期投資一覧表!D13="",0,⑤初期投資一覧表!D13)</f>
        <v>0</v>
      </c>
      <c r="D6" s="106" t="s">
        <v>165</v>
      </c>
      <c r="E6" s="88"/>
      <c r="F6" s="113" t="n">
        <f aca="false">+IF(OR(D6="",E6=""),0,IF(D6="定率法",VLOOKUP(E6,$AG$5:$AI$103,2,0),VLOOKUP(E6,$AG$5:$AI$103,3,0)))</f>
        <v>0</v>
      </c>
      <c r="G6" s="75" t="n">
        <f aca="false">IF(F6=0,0,①基礎情報!$C$6)</f>
        <v>0</v>
      </c>
      <c r="H6" s="114" t="n">
        <f aca="false">IF(F6=0,0,ROUNDDOWN(C6*F6/12,0))</f>
        <v>0</v>
      </c>
      <c r="I6" s="75" t="n">
        <f aca="false">+H6*G6</f>
        <v>0</v>
      </c>
      <c r="J6" s="75" t="n">
        <f aca="false">+C6-I6</f>
        <v>0</v>
      </c>
      <c r="K6" s="75" t="n">
        <f aca="false">IF(D6="定率法",IF(E6=2,ROUNDDOWN((J6-1)/12,0),ROUNDDOWN(J6*F6/12,0)),H6)</f>
        <v>0</v>
      </c>
      <c r="L6" s="75" t="n">
        <f aca="false">+K6*12</f>
        <v>0</v>
      </c>
      <c r="M6" s="75" t="n">
        <f aca="false">+J6-K6*12</f>
        <v>0</v>
      </c>
      <c r="AE6" s="0" t="s">
        <v>168</v>
      </c>
      <c r="AG6" s="115" t="n">
        <v>2</v>
      </c>
      <c r="AH6" s="115" t="n">
        <v>1</v>
      </c>
      <c r="AI6" s="116" t="n">
        <v>0.5</v>
      </c>
    </row>
    <row r="7" customFormat="false" ht="17.25" hidden="false" customHeight="true" outlineLevel="0" collapsed="false">
      <c r="B7" s="112" t="str">
        <f aca="false">IF(⑤初期投資一覧表!C14="","",⑤初期投資一覧表!C14)</f>
        <v/>
      </c>
      <c r="C7" s="75" t="n">
        <f aca="false">IF(⑤初期投資一覧表!D14="",0,⑤初期投資一覧表!D14)</f>
        <v>0</v>
      </c>
      <c r="D7" s="106" t="s">
        <v>168</v>
      </c>
      <c r="E7" s="88"/>
      <c r="F7" s="113" t="n">
        <f aca="false">+IF(OR(D7="",E7=""),0,IF(D7="定率法",VLOOKUP(E7,$AG$5:$AI$103,2,0),VLOOKUP(E7,$AG$5:$AI$103,3,0)))</f>
        <v>0</v>
      </c>
      <c r="G7" s="75" t="n">
        <f aca="false">IF(F7=0,0,①基礎情報!$C$6)</f>
        <v>0</v>
      </c>
      <c r="H7" s="114" t="n">
        <f aca="false">IF(F7=0,0,ROUNDDOWN(C7*F7/12,0))</f>
        <v>0</v>
      </c>
      <c r="I7" s="75" t="n">
        <f aca="false">+H7*G7</f>
        <v>0</v>
      </c>
      <c r="J7" s="75" t="n">
        <f aca="false">+C7-I7</f>
        <v>0</v>
      </c>
      <c r="K7" s="75" t="n">
        <f aca="false">IF(D7="定率法",IF(E7=2,ROUNDDOWN((J7-1)/12,0),ROUNDDOWN(J7*F7/12,0)),H7)</f>
        <v>0</v>
      </c>
      <c r="L7" s="75" t="n">
        <f aca="false">+K7*12</f>
        <v>0</v>
      </c>
      <c r="M7" s="75" t="n">
        <f aca="false">+J7-K7*12</f>
        <v>0</v>
      </c>
      <c r="AG7" s="115" t="n">
        <v>3</v>
      </c>
      <c r="AH7" s="115" t="n">
        <v>0.667</v>
      </c>
      <c r="AI7" s="117" t="n">
        <v>0.334</v>
      </c>
    </row>
    <row r="8" customFormat="false" ht="17.25" hidden="false" customHeight="true" outlineLevel="0" collapsed="false">
      <c r="B8" s="112" t="str">
        <f aca="false">IF(⑤初期投資一覧表!C15="","",⑤初期投資一覧表!C15)</f>
        <v/>
      </c>
      <c r="C8" s="75" t="n">
        <f aca="false">IF(⑤初期投資一覧表!D15="",0,⑤初期投資一覧表!D15)</f>
        <v>0</v>
      </c>
      <c r="D8" s="106" t="s">
        <v>168</v>
      </c>
      <c r="E8" s="88"/>
      <c r="F8" s="113" t="n">
        <f aca="false">+IF(OR(D8="",E8=""),0,IF(D8="定率法",VLOOKUP(E8,$AG$5:$AI$103,2,0),VLOOKUP(E8,$AG$5:$AI$103,3,0)))</f>
        <v>0</v>
      </c>
      <c r="G8" s="75" t="n">
        <f aca="false">IF(F8=0,0,①基礎情報!$C$6)</f>
        <v>0</v>
      </c>
      <c r="H8" s="114" t="n">
        <f aca="false">IF(F8=0,0,ROUNDDOWN(C8*F8/12,0))</f>
        <v>0</v>
      </c>
      <c r="I8" s="75" t="n">
        <f aca="false">+H8*G8</f>
        <v>0</v>
      </c>
      <c r="J8" s="75" t="n">
        <f aca="false">+C8-I8</f>
        <v>0</v>
      </c>
      <c r="K8" s="75" t="n">
        <f aca="false">IF(D8="定率法",IF(E8=2,ROUNDDOWN((J8-1)/12,0),ROUNDDOWN(J8*F8/12,0)),H8)</f>
        <v>0</v>
      </c>
      <c r="L8" s="75" t="n">
        <f aca="false">+K8*12</f>
        <v>0</v>
      </c>
      <c r="M8" s="75" t="n">
        <f aca="false">+J8-K8*12</f>
        <v>0</v>
      </c>
      <c r="AG8" s="115" t="n">
        <v>4</v>
      </c>
      <c r="AH8" s="115" t="n">
        <v>0.5</v>
      </c>
      <c r="AI8" s="116" t="n">
        <v>0.25</v>
      </c>
    </row>
    <row r="9" customFormat="false" ht="17.25" hidden="false" customHeight="true" outlineLevel="0" collapsed="false">
      <c r="B9" s="112" t="str">
        <f aca="false">IF(⑤初期投資一覧表!C16="","",⑤初期投資一覧表!C16)</f>
        <v/>
      </c>
      <c r="C9" s="75" t="n">
        <f aca="false">IF(⑤初期投資一覧表!D16="",0,⑤初期投資一覧表!D16)</f>
        <v>0</v>
      </c>
      <c r="D9" s="106" t="s">
        <v>168</v>
      </c>
      <c r="E9" s="88"/>
      <c r="F9" s="113" t="n">
        <f aca="false">+IF(OR(D9="",E9=""),0,IF(D9="定率法",VLOOKUP(E9,$AG$5:$AI$103,2,0),VLOOKUP(E9,$AG$5:$AI$103,3,0)))</f>
        <v>0</v>
      </c>
      <c r="G9" s="75" t="n">
        <f aca="false">IF(F9=0,0,①基礎情報!$C$6)</f>
        <v>0</v>
      </c>
      <c r="H9" s="114" t="n">
        <f aca="false">IF(F9=0,0,ROUNDDOWN(C9*F9/12,0))</f>
        <v>0</v>
      </c>
      <c r="I9" s="75" t="n">
        <f aca="false">+H9*G9</f>
        <v>0</v>
      </c>
      <c r="J9" s="75" t="n">
        <f aca="false">+C9-I9</f>
        <v>0</v>
      </c>
      <c r="K9" s="75" t="n">
        <f aca="false">IF(D9="定率法",IF(E9=2,ROUNDDOWN((J9-1)/12,0),ROUNDDOWN(J9*F9/12,0)),H9)</f>
        <v>0</v>
      </c>
      <c r="L9" s="75" t="n">
        <f aca="false">+K9*12</f>
        <v>0</v>
      </c>
      <c r="M9" s="75" t="n">
        <f aca="false">+J9-K9*12</f>
        <v>0</v>
      </c>
      <c r="AG9" s="115" t="n">
        <v>5</v>
      </c>
      <c r="AH9" s="115" t="n">
        <v>0.4</v>
      </c>
      <c r="AI9" s="117" t="n">
        <v>0.2</v>
      </c>
    </row>
    <row r="10" customFormat="false" ht="17.25" hidden="false" customHeight="true" outlineLevel="0" collapsed="false">
      <c r="B10" s="112" t="str">
        <f aca="false">IF(⑤初期投資一覧表!C17="","",⑤初期投資一覧表!C17)</f>
        <v/>
      </c>
      <c r="C10" s="75" t="n">
        <f aca="false">IF(⑤初期投資一覧表!D17="",0,⑤初期投資一覧表!D17)</f>
        <v>0</v>
      </c>
      <c r="D10" s="106" t="s">
        <v>168</v>
      </c>
      <c r="E10" s="87"/>
      <c r="F10" s="113" t="n">
        <f aca="false">+IF(OR(D10="",E10=""),0,IF(D10="定率法",VLOOKUP(E10,$AG$5:$AI$103,2,0),VLOOKUP(E10,$AG$5:$AI$103,3,0)))</f>
        <v>0</v>
      </c>
      <c r="G10" s="75" t="n">
        <f aca="false">IF(F10=0,0,①基礎情報!$C$6)</f>
        <v>0</v>
      </c>
      <c r="H10" s="114" t="n">
        <f aca="false">IF(F10=0,0,ROUNDDOWN(C10*F10/12,0))</f>
        <v>0</v>
      </c>
      <c r="I10" s="75" t="n">
        <f aca="false">+H10*G10</f>
        <v>0</v>
      </c>
      <c r="J10" s="75" t="n">
        <f aca="false">+C10-I10</f>
        <v>0</v>
      </c>
      <c r="K10" s="75" t="n">
        <f aca="false">IF(D10="定率法",IF(E10=2,ROUNDDOWN((J10-1)/12,0),ROUNDDOWN(J10*F10/12,0)),H10)</f>
        <v>0</v>
      </c>
      <c r="L10" s="75" t="n">
        <f aca="false">+K10*12</f>
        <v>0</v>
      </c>
      <c r="M10" s="75" t="n">
        <f aca="false">+J10-K10*12</f>
        <v>0</v>
      </c>
      <c r="AG10" s="115" t="n">
        <v>6</v>
      </c>
      <c r="AH10" s="115" t="n">
        <v>0.333</v>
      </c>
      <c r="AI10" s="116" t="n">
        <v>0.167</v>
      </c>
    </row>
    <row r="11" customFormat="false" ht="17.25" hidden="false" customHeight="true" outlineLevel="0" collapsed="false">
      <c r="B11" s="112" t="str">
        <f aca="false">IF(⑤初期投資一覧表!C18="","",⑤初期投資一覧表!C18)</f>
        <v/>
      </c>
      <c r="C11" s="75" t="n">
        <f aca="false">IF(⑤初期投資一覧表!D18="",0,⑤初期投資一覧表!D18)</f>
        <v>0</v>
      </c>
      <c r="D11" s="106" t="s">
        <v>168</v>
      </c>
      <c r="E11" s="87"/>
      <c r="F11" s="113" t="n">
        <f aca="false">+IF(OR(D11="",E11=""),0,IF(D11="定率法",VLOOKUP(E11,$AG$5:$AI$103,2,0),VLOOKUP(E11,$AG$5:$AI$103,3,0)))</f>
        <v>0</v>
      </c>
      <c r="G11" s="75" t="n">
        <f aca="false">IF(F11=0,0,①基礎情報!$C$6)</f>
        <v>0</v>
      </c>
      <c r="H11" s="114" t="n">
        <f aca="false">IF(F11=0,0,ROUNDDOWN(C11*F11/12,0))</f>
        <v>0</v>
      </c>
      <c r="I11" s="75" t="n">
        <f aca="false">+H11*G11</f>
        <v>0</v>
      </c>
      <c r="J11" s="75" t="n">
        <f aca="false">+C11-I11</f>
        <v>0</v>
      </c>
      <c r="K11" s="75" t="n">
        <f aca="false">IF(D11="定率法",IF(E11=2,ROUNDDOWN((J11-1)/12,0),ROUNDDOWN(J11*F11/12,0)),H11)</f>
        <v>0</v>
      </c>
      <c r="L11" s="75" t="n">
        <f aca="false">+K11*12</f>
        <v>0</v>
      </c>
      <c r="M11" s="75" t="n">
        <f aca="false">+J11-K11*12</f>
        <v>0</v>
      </c>
      <c r="AG11" s="115" t="n">
        <v>7</v>
      </c>
      <c r="AH11" s="115" t="n">
        <v>0.286</v>
      </c>
      <c r="AI11" s="117" t="n">
        <v>0.143</v>
      </c>
    </row>
    <row r="12" customFormat="false" ht="17.25" hidden="false" customHeight="true" outlineLevel="0" collapsed="false">
      <c r="B12" s="112" t="str">
        <f aca="false">IF(⑤初期投資一覧表!C19="","",⑤初期投資一覧表!C19)</f>
        <v/>
      </c>
      <c r="C12" s="75" t="n">
        <f aca="false">IF(⑤初期投資一覧表!D19="",0,⑤初期投資一覧表!D19)</f>
        <v>0</v>
      </c>
      <c r="D12" s="106" t="s">
        <v>168</v>
      </c>
      <c r="E12" s="87"/>
      <c r="F12" s="113" t="n">
        <f aca="false">+IF(OR(D12="",E12=""),0,IF(D12="定率法",VLOOKUP(E12,$AG$5:$AI$103,2,0),VLOOKUP(E12,$AG$5:$AI$103,3,0)))</f>
        <v>0</v>
      </c>
      <c r="G12" s="75" t="n">
        <f aca="false">IF(F12=0,0,①基礎情報!$C$6)</f>
        <v>0</v>
      </c>
      <c r="H12" s="114" t="n">
        <f aca="false">IF(F12=0,0,ROUNDDOWN(C12*F12/12,0))</f>
        <v>0</v>
      </c>
      <c r="I12" s="75" t="n">
        <f aca="false">+H12*G12</f>
        <v>0</v>
      </c>
      <c r="J12" s="75" t="n">
        <f aca="false">+C12-I12</f>
        <v>0</v>
      </c>
      <c r="K12" s="75" t="n">
        <f aca="false">IF(D12="定率法",IF(E12=2,ROUNDDOWN((J12-1)/12,0),ROUNDDOWN(J12*F12/12,0)),H12)</f>
        <v>0</v>
      </c>
      <c r="L12" s="75" t="n">
        <f aca="false">+K12*12</f>
        <v>0</v>
      </c>
      <c r="M12" s="75" t="n">
        <f aca="false">+J12-K12*12</f>
        <v>0</v>
      </c>
      <c r="AG12" s="115" t="n">
        <v>8</v>
      </c>
      <c r="AH12" s="115" t="n">
        <v>0.25</v>
      </c>
      <c r="AI12" s="116" t="n">
        <v>0.125</v>
      </c>
    </row>
    <row r="13" customFormat="false" ht="17.25" hidden="false" customHeight="true" outlineLevel="0" collapsed="false">
      <c r="B13" s="112" t="str">
        <f aca="false">IF(⑤初期投資一覧表!C20="","",⑤初期投資一覧表!C20)</f>
        <v/>
      </c>
      <c r="C13" s="75" t="n">
        <f aca="false">IF(⑤初期投資一覧表!D20="",0,⑤初期投資一覧表!D20)</f>
        <v>0</v>
      </c>
      <c r="D13" s="106" t="s">
        <v>168</v>
      </c>
      <c r="E13" s="87"/>
      <c r="F13" s="113" t="n">
        <f aca="false">+IF(OR(D13="",E13=""),0,IF(D13="定率法",VLOOKUP(E13,$AG$5:$AI$103,2,0),VLOOKUP(E13,$AG$5:$AI$103,3,0)))</f>
        <v>0</v>
      </c>
      <c r="G13" s="75" t="n">
        <f aca="false">IF(F13=0,0,①基礎情報!$C$6)</f>
        <v>0</v>
      </c>
      <c r="H13" s="114" t="n">
        <f aca="false">IF(F13=0,0,ROUNDDOWN(C13*F13/12,0))</f>
        <v>0</v>
      </c>
      <c r="I13" s="75" t="n">
        <f aca="false">+H13*G13</f>
        <v>0</v>
      </c>
      <c r="J13" s="75" t="n">
        <f aca="false">+C13-I13</f>
        <v>0</v>
      </c>
      <c r="K13" s="75" t="n">
        <f aca="false">IF(D13="定率法",IF(E13=2,ROUNDDOWN((J13-1)/12,0),ROUNDDOWN(J13*F13/12,0)),H13)</f>
        <v>0</v>
      </c>
      <c r="L13" s="75" t="n">
        <f aca="false">+K13*12</f>
        <v>0</v>
      </c>
      <c r="M13" s="75" t="n">
        <f aca="false">+J13-K13*12</f>
        <v>0</v>
      </c>
      <c r="AG13" s="115" t="n">
        <v>9</v>
      </c>
      <c r="AH13" s="115" t="n">
        <v>0.222</v>
      </c>
      <c r="AI13" s="117" t="n">
        <v>0.112</v>
      </c>
    </row>
    <row r="14" customFormat="false" ht="17.25" hidden="false" customHeight="true" outlineLevel="0" collapsed="false">
      <c r="B14" s="112" t="str">
        <f aca="false">IF(⑤初期投資一覧表!C21="","",⑤初期投資一覧表!C21)</f>
        <v/>
      </c>
      <c r="C14" s="75" t="n">
        <f aca="false">IF(⑤初期投資一覧表!D21="",0,⑤初期投資一覧表!D21)</f>
        <v>0</v>
      </c>
      <c r="D14" s="118"/>
      <c r="E14" s="87"/>
      <c r="F14" s="113" t="n">
        <f aca="false">+IF(OR(D14="",E14=""),0,IF(D14="定率法",VLOOKUP(E14,$AG$5:$AI$103,2,0),VLOOKUP(E14,$AG$5:$AI$103,3,0)))</f>
        <v>0</v>
      </c>
      <c r="G14" s="75" t="n">
        <f aca="false">IF(F14=0,0,①基礎情報!$C$6)</f>
        <v>0</v>
      </c>
      <c r="H14" s="114" t="n">
        <f aca="false">IF(F14=0,0,ROUNDDOWN(C14*F14/12,0))</f>
        <v>0</v>
      </c>
      <c r="I14" s="75" t="n">
        <f aca="false">+H14*G14</f>
        <v>0</v>
      </c>
      <c r="J14" s="75" t="n">
        <f aca="false">+C14-I14</f>
        <v>0</v>
      </c>
      <c r="K14" s="75" t="n">
        <f aca="false">IF(D14="定率法",IF(E14=2,ROUNDDOWN((J14-1)/12,0),ROUNDDOWN(J14*F14/12,0)),H14)</f>
        <v>0</v>
      </c>
      <c r="L14" s="75" t="n">
        <f aca="false">+K14*12</f>
        <v>0</v>
      </c>
      <c r="M14" s="75" t="n">
        <f aca="false">+J14-K14*12</f>
        <v>0</v>
      </c>
      <c r="AG14" s="115" t="n">
        <v>10</v>
      </c>
      <c r="AH14" s="115" t="n">
        <v>0.2</v>
      </c>
      <c r="AI14" s="116" t="n">
        <v>0.1</v>
      </c>
    </row>
    <row r="15" customFormat="false" ht="17.25" hidden="false" customHeight="true" outlineLevel="0" collapsed="false">
      <c r="B15" s="112" t="s">
        <v>149</v>
      </c>
      <c r="C15" s="75" t="n">
        <f aca="false">+⑤初期投資一覧表!D30</f>
        <v>0</v>
      </c>
      <c r="D15" s="106" t="s">
        <v>168</v>
      </c>
      <c r="E15" s="112"/>
      <c r="F15" s="113" t="n">
        <f aca="false">+IF(OR(D15="",E15=""),0,IF(D15="定率法",VLOOKUP(E15,$AG$5:$AI$103,2,0),VLOOKUP(E15,$AG$5:$AI$103,3,0)))</f>
        <v>0</v>
      </c>
      <c r="G15" s="75" t="n">
        <f aca="false">IF(F15=0,0,①基礎情報!$C$6)</f>
        <v>0</v>
      </c>
      <c r="H15" s="114" t="n">
        <f aca="false">IF(F15=0,0,ROUNDDOWN(C15*F15/12,0))</f>
        <v>0</v>
      </c>
      <c r="I15" s="75" t="n">
        <f aca="false">+H15*G15</f>
        <v>0</v>
      </c>
      <c r="J15" s="75" t="n">
        <f aca="false">+C15-I15</f>
        <v>0</v>
      </c>
      <c r="K15" s="75" t="n">
        <f aca="false">IF(D15="定率法",IF(E15=2,ROUNDDOWN((J15-1)/12,0),ROUNDDOWN(J15*F15/12,0)),H15)</f>
        <v>0</v>
      </c>
      <c r="L15" s="75" t="n">
        <f aca="false">+K15*12</f>
        <v>0</v>
      </c>
      <c r="M15" s="75" t="n">
        <f aca="false">+J15-K15*12</f>
        <v>0</v>
      </c>
      <c r="AG15" s="115" t="n">
        <v>10</v>
      </c>
      <c r="AH15" s="115" t="n">
        <v>0.2</v>
      </c>
      <c r="AI15" s="116" t="n">
        <v>0.1</v>
      </c>
    </row>
    <row r="16" customFormat="false" ht="17.25" hidden="false" customHeight="true" outlineLevel="0" collapsed="false">
      <c r="B16" s="98"/>
      <c r="C16" s="74"/>
      <c r="D16" s="74"/>
      <c r="E16" s="119" t="s">
        <v>151</v>
      </c>
      <c r="F16" s="119"/>
      <c r="G16" s="120"/>
      <c r="H16" s="121" t="n">
        <f aca="false">SUM(H5:H15)</f>
        <v>3333</v>
      </c>
      <c r="I16" s="121" t="n">
        <f aca="false">SUM(I5:I15)</f>
        <v>26664</v>
      </c>
      <c r="J16" s="121" t="n">
        <f aca="false">SUM(J5:J15)</f>
        <v>73336</v>
      </c>
      <c r="K16" s="121" t="n">
        <f aca="false">SUM(K5:K15)</f>
        <v>2444</v>
      </c>
      <c r="L16" s="121" t="n">
        <f aca="false">SUM(L5:L15)</f>
        <v>29328</v>
      </c>
      <c r="M16" s="121" t="n">
        <f aca="false">SUM(M5:M15)</f>
        <v>44008</v>
      </c>
      <c r="AG16" s="115" t="n">
        <v>11</v>
      </c>
      <c r="AH16" s="115" t="n">
        <v>0.182</v>
      </c>
      <c r="AI16" s="117" t="n">
        <v>0.091</v>
      </c>
    </row>
    <row r="17" customFormat="false" ht="17.25" hidden="false" customHeight="true" outlineLevel="0" collapsed="false">
      <c r="AG17" s="115" t="n">
        <v>12</v>
      </c>
      <c r="AH17" s="115" t="n">
        <v>0.167</v>
      </c>
      <c r="AI17" s="116" t="n">
        <v>0.084</v>
      </c>
    </row>
    <row r="18" customFormat="false" ht="17.25" hidden="false" customHeight="true" outlineLevel="0" collapsed="false">
      <c r="AG18" s="115" t="n">
        <v>13</v>
      </c>
      <c r="AH18" s="115" t="n">
        <v>0.154</v>
      </c>
      <c r="AI18" s="117" t="n">
        <v>0.077</v>
      </c>
    </row>
    <row r="19" customFormat="false" ht="17.25" hidden="false" customHeight="true" outlineLevel="0" collapsed="false">
      <c r="AG19" s="115" t="n">
        <v>14</v>
      </c>
      <c r="AH19" s="115" t="n">
        <v>0.143</v>
      </c>
      <c r="AI19" s="116" t="n">
        <v>0.072</v>
      </c>
    </row>
    <row r="20" customFormat="false" ht="17.25" hidden="false" customHeight="true" outlineLevel="0" collapsed="false">
      <c r="AG20" s="115" t="n">
        <v>15</v>
      </c>
      <c r="AH20" s="115" t="n">
        <v>0.133</v>
      </c>
      <c r="AI20" s="117" t="n">
        <v>0.067</v>
      </c>
    </row>
    <row r="21" customFormat="false" ht="17.25" hidden="false" customHeight="true" outlineLevel="0" collapsed="false">
      <c r="AG21" s="115" t="n">
        <v>16</v>
      </c>
      <c r="AH21" s="115" t="n">
        <v>0.125</v>
      </c>
      <c r="AI21" s="116" t="n">
        <v>0.063</v>
      </c>
    </row>
    <row r="22" customFormat="false" ht="17.25" hidden="false" customHeight="true" outlineLevel="0" collapsed="false">
      <c r="AG22" s="115" t="n">
        <v>17</v>
      </c>
      <c r="AH22" s="115" t="n">
        <v>0.118</v>
      </c>
      <c r="AI22" s="117" t="n">
        <v>0.059</v>
      </c>
    </row>
    <row r="23" customFormat="false" ht="17.25" hidden="false" customHeight="true" outlineLevel="0" collapsed="false">
      <c r="AG23" s="115" t="n">
        <v>18</v>
      </c>
      <c r="AH23" s="115" t="n">
        <v>0.111</v>
      </c>
      <c r="AI23" s="116" t="n">
        <v>0.056</v>
      </c>
    </row>
    <row r="24" customFormat="false" ht="17.25" hidden="false" customHeight="true" outlineLevel="0" collapsed="false">
      <c r="AG24" s="115" t="n">
        <v>19</v>
      </c>
      <c r="AH24" s="115" t="n">
        <v>0.105</v>
      </c>
      <c r="AI24" s="117" t="n">
        <v>0.053</v>
      </c>
    </row>
    <row r="25" customFormat="false" ht="17.25" hidden="false" customHeight="true" outlineLevel="0" collapsed="false">
      <c r="AG25" s="115" t="n">
        <v>20</v>
      </c>
      <c r="AH25" s="115" t="n">
        <v>0.1</v>
      </c>
      <c r="AI25" s="116" t="n">
        <v>0.05</v>
      </c>
    </row>
    <row r="26" customFormat="false" ht="17.25" hidden="false" customHeight="true" outlineLevel="0" collapsed="false">
      <c r="AG26" s="115" t="n">
        <v>21</v>
      </c>
      <c r="AH26" s="115" t="n">
        <v>0.095</v>
      </c>
      <c r="AI26" s="117" t="n">
        <v>0.048</v>
      </c>
    </row>
    <row r="27" customFormat="false" ht="17.25" hidden="false" customHeight="true" outlineLevel="0" collapsed="false">
      <c r="AG27" s="115" t="n">
        <v>22</v>
      </c>
      <c r="AH27" s="115" t="n">
        <v>0.091</v>
      </c>
      <c r="AI27" s="116" t="n">
        <v>0.046</v>
      </c>
    </row>
    <row r="28" customFormat="false" ht="17.25" hidden="false" customHeight="true" outlineLevel="0" collapsed="false">
      <c r="AG28" s="115" t="n">
        <v>23</v>
      </c>
      <c r="AH28" s="115" t="n">
        <v>0.087</v>
      </c>
      <c r="AI28" s="117" t="n">
        <v>0.044</v>
      </c>
    </row>
    <row r="29" customFormat="false" ht="17.25" hidden="false" customHeight="true" outlineLevel="0" collapsed="false">
      <c r="AG29" s="115" t="n">
        <v>24</v>
      </c>
      <c r="AH29" s="115" t="n">
        <v>0.083</v>
      </c>
      <c r="AI29" s="116" t="n">
        <v>0.042</v>
      </c>
    </row>
    <row r="30" customFormat="false" ht="17.25" hidden="false" customHeight="true" outlineLevel="0" collapsed="false">
      <c r="AG30" s="115" t="n">
        <v>25</v>
      </c>
      <c r="AH30" s="115" t="n">
        <v>0.08</v>
      </c>
      <c r="AI30" s="117" t="n">
        <v>0.04</v>
      </c>
    </row>
    <row r="31" customFormat="false" ht="17.25" hidden="false" customHeight="true" outlineLevel="0" collapsed="false">
      <c r="AG31" s="115" t="n">
        <v>26</v>
      </c>
      <c r="AH31" s="115" t="n">
        <v>0.077</v>
      </c>
      <c r="AI31" s="116" t="n">
        <v>0.039</v>
      </c>
    </row>
    <row r="32" customFormat="false" ht="17.25" hidden="false" customHeight="true" outlineLevel="0" collapsed="false">
      <c r="AG32" s="115" t="n">
        <v>27</v>
      </c>
      <c r="AH32" s="115" t="n">
        <v>0.074</v>
      </c>
      <c r="AI32" s="117" t="n">
        <v>0.038</v>
      </c>
    </row>
    <row r="33" customFormat="false" ht="17.25" hidden="false" customHeight="true" outlineLevel="0" collapsed="false">
      <c r="AG33" s="115" t="n">
        <v>28</v>
      </c>
      <c r="AH33" s="115" t="n">
        <v>0.071</v>
      </c>
      <c r="AI33" s="116" t="n">
        <v>0.036</v>
      </c>
    </row>
    <row r="34" customFormat="false" ht="17.25" hidden="false" customHeight="true" outlineLevel="0" collapsed="false">
      <c r="AG34" s="115" t="n">
        <v>29</v>
      </c>
      <c r="AH34" s="115" t="n">
        <v>0.069</v>
      </c>
      <c r="AI34" s="117" t="n">
        <v>0.035</v>
      </c>
    </row>
    <row r="35" customFormat="false" ht="17.25" hidden="false" customHeight="true" outlineLevel="0" collapsed="false">
      <c r="AG35" s="115" t="n">
        <v>30</v>
      </c>
      <c r="AH35" s="115" t="n">
        <v>0.067</v>
      </c>
      <c r="AI35" s="116" t="n">
        <v>0.034</v>
      </c>
    </row>
    <row r="36" customFormat="false" ht="17.25" hidden="false" customHeight="true" outlineLevel="0" collapsed="false">
      <c r="AG36" s="115" t="n">
        <v>31</v>
      </c>
      <c r="AH36" s="115" t="n">
        <v>0.065</v>
      </c>
      <c r="AI36" s="117" t="n">
        <v>0.033</v>
      </c>
    </row>
    <row r="37" customFormat="false" ht="17.25" hidden="false" customHeight="true" outlineLevel="0" collapsed="false">
      <c r="AG37" s="115" t="n">
        <v>32</v>
      </c>
      <c r="AH37" s="115" t="n">
        <v>0.063</v>
      </c>
      <c r="AI37" s="116" t="n">
        <v>0.032</v>
      </c>
    </row>
    <row r="38" customFormat="false" ht="17.25" hidden="false" customHeight="true" outlineLevel="0" collapsed="false">
      <c r="AG38" s="115" t="n">
        <v>33</v>
      </c>
      <c r="AH38" s="115" t="n">
        <v>0.061</v>
      </c>
      <c r="AI38" s="117" t="n">
        <v>0.031</v>
      </c>
    </row>
    <row r="39" customFormat="false" ht="17.25" hidden="false" customHeight="true" outlineLevel="0" collapsed="false">
      <c r="AG39" s="115" t="n">
        <v>34</v>
      </c>
      <c r="AH39" s="115" t="n">
        <v>0.059</v>
      </c>
      <c r="AI39" s="116" t="n">
        <v>0.03</v>
      </c>
    </row>
    <row r="40" customFormat="false" ht="17.25" hidden="false" customHeight="true" outlineLevel="0" collapsed="false">
      <c r="AG40" s="115" t="n">
        <v>35</v>
      </c>
      <c r="AH40" s="115" t="n">
        <v>0.057</v>
      </c>
      <c r="AI40" s="117" t="n">
        <v>0.029</v>
      </c>
    </row>
    <row r="41" customFormat="false" ht="17.25" hidden="false" customHeight="true" outlineLevel="0" collapsed="false">
      <c r="AG41" s="115" t="n">
        <v>36</v>
      </c>
      <c r="AH41" s="115" t="n">
        <v>0.056</v>
      </c>
      <c r="AI41" s="116" t="n">
        <v>0.028</v>
      </c>
    </row>
    <row r="42" customFormat="false" ht="17.25" hidden="false" customHeight="true" outlineLevel="0" collapsed="false">
      <c r="AG42" s="115" t="n">
        <v>37</v>
      </c>
      <c r="AH42" s="115" t="n">
        <v>0.054</v>
      </c>
      <c r="AI42" s="117" t="n">
        <v>0.028</v>
      </c>
    </row>
    <row r="43" customFormat="false" ht="17.25" hidden="false" customHeight="true" outlineLevel="0" collapsed="false">
      <c r="AG43" s="115" t="n">
        <v>38</v>
      </c>
      <c r="AH43" s="115" t="n">
        <v>0.053</v>
      </c>
      <c r="AI43" s="116" t="n">
        <v>0.027</v>
      </c>
    </row>
    <row r="44" customFormat="false" ht="17.25" hidden="false" customHeight="true" outlineLevel="0" collapsed="false">
      <c r="AG44" s="115" t="n">
        <v>39</v>
      </c>
      <c r="AH44" s="115" t="n">
        <v>0.051</v>
      </c>
      <c r="AI44" s="117" t="n">
        <v>0.026</v>
      </c>
    </row>
    <row r="45" customFormat="false" ht="17.25" hidden="false" customHeight="true" outlineLevel="0" collapsed="false">
      <c r="AG45" s="115" t="n">
        <v>40</v>
      </c>
      <c r="AH45" s="115" t="n">
        <v>0.05</v>
      </c>
      <c r="AI45" s="116" t="n">
        <v>0.025</v>
      </c>
    </row>
    <row r="46" customFormat="false" ht="17.25" hidden="false" customHeight="true" outlineLevel="0" collapsed="false">
      <c r="AG46" s="115" t="n">
        <v>41</v>
      </c>
      <c r="AH46" s="115" t="n">
        <v>0.049</v>
      </c>
      <c r="AI46" s="117" t="n">
        <v>0.025</v>
      </c>
    </row>
    <row r="47" customFormat="false" ht="17.25" hidden="false" customHeight="true" outlineLevel="0" collapsed="false">
      <c r="AG47" s="115" t="n">
        <v>42</v>
      </c>
      <c r="AH47" s="115" t="n">
        <v>0.048</v>
      </c>
      <c r="AI47" s="116" t="n">
        <v>0.024</v>
      </c>
    </row>
    <row r="48" customFormat="false" ht="17.25" hidden="false" customHeight="true" outlineLevel="0" collapsed="false">
      <c r="AG48" s="115" t="n">
        <v>43</v>
      </c>
      <c r="AH48" s="115" t="n">
        <v>0.047</v>
      </c>
      <c r="AI48" s="117" t="n">
        <v>0.024</v>
      </c>
    </row>
    <row r="49" customFormat="false" ht="17.25" hidden="false" customHeight="true" outlineLevel="0" collapsed="false">
      <c r="AG49" s="115" t="n">
        <v>44</v>
      </c>
      <c r="AH49" s="115" t="n">
        <v>0.045</v>
      </c>
      <c r="AI49" s="116" t="n">
        <v>0.023</v>
      </c>
    </row>
    <row r="50" customFormat="false" ht="17.25" hidden="false" customHeight="true" outlineLevel="0" collapsed="false">
      <c r="AG50" s="115" t="n">
        <v>45</v>
      </c>
      <c r="AH50" s="115" t="n">
        <v>0.044</v>
      </c>
      <c r="AI50" s="117" t="n">
        <v>0.023</v>
      </c>
    </row>
    <row r="51" customFormat="false" ht="17.25" hidden="false" customHeight="true" outlineLevel="0" collapsed="false">
      <c r="AG51" s="115" t="n">
        <v>46</v>
      </c>
      <c r="AH51" s="115" t="n">
        <v>0.043</v>
      </c>
      <c r="AI51" s="116" t="n">
        <v>0.022</v>
      </c>
    </row>
    <row r="52" customFormat="false" ht="17.25" hidden="false" customHeight="true" outlineLevel="0" collapsed="false">
      <c r="AG52" s="115" t="n">
        <v>47</v>
      </c>
      <c r="AH52" s="115" t="n">
        <v>0.043</v>
      </c>
      <c r="AI52" s="117" t="n">
        <v>0.022</v>
      </c>
    </row>
    <row r="53" customFormat="false" ht="17.25" hidden="false" customHeight="true" outlineLevel="0" collapsed="false">
      <c r="AG53" s="115" t="n">
        <v>48</v>
      </c>
      <c r="AH53" s="115" t="n">
        <v>0.042</v>
      </c>
      <c r="AI53" s="116" t="n">
        <v>0.021</v>
      </c>
    </row>
    <row r="54" customFormat="false" ht="17.25" hidden="false" customHeight="true" outlineLevel="0" collapsed="false">
      <c r="AG54" s="115" t="n">
        <v>49</v>
      </c>
      <c r="AH54" s="115" t="n">
        <v>0.041</v>
      </c>
      <c r="AI54" s="117" t="n">
        <v>0.021</v>
      </c>
    </row>
    <row r="55" customFormat="false" ht="17.25" hidden="false" customHeight="true" outlineLevel="0" collapsed="false">
      <c r="AG55" s="115" t="n">
        <v>50</v>
      </c>
      <c r="AH55" s="115" t="n">
        <v>0.04</v>
      </c>
      <c r="AI55" s="116" t="n">
        <v>0.02</v>
      </c>
    </row>
    <row r="56" customFormat="false" ht="17.25" hidden="false" customHeight="true" outlineLevel="0" collapsed="false">
      <c r="AG56" s="115" t="n">
        <v>51</v>
      </c>
      <c r="AH56" s="115" t="n">
        <v>0.039</v>
      </c>
      <c r="AI56" s="117" t="n">
        <v>0.02</v>
      </c>
    </row>
    <row r="57" customFormat="false" ht="17.25" hidden="false" customHeight="true" outlineLevel="0" collapsed="false">
      <c r="AG57" s="115" t="n">
        <v>52</v>
      </c>
      <c r="AH57" s="115" t="n">
        <v>0.038</v>
      </c>
      <c r="AI57" s="116" t="n">
        <v>0.02</v>
      </c>
    </row>
    <row r="58" customFormat="false" ht="17.25" hidden="false" customHeight="true" outlineLevel="0" collapsed="false">
      <c r="AG58" s="115" t="n">
        <v>53</v>
      </c>
      <c r="AH58" s="115" t="n">
        <v>0.038</v>
      </c>
      <c r="AI58" s="117" t="n">
        <v>0.019</v>
      </c>
    </row>
    <row r="59" customFormat="false" ht="17.25" hidden="false" customHeight="true" outlineLevel="0" collapsed="false">
      <c r="AG59" s="115" t="n">
        <v>54</v>
      </c>
      <c r="AH59" s="115" t="n">
        <v>0.037</v>
      </c>
      <c r="AI59" s="116" t="n">
        <v>0.019</v>
      </c>
    </row>
    <row r="60" customFormat="false" ht="17.25" hidden="false" customHeight="true" outlineLevel="0" collapsed="false">
      <c r="AG60" s="115" t="n">
        <v>55</v>
      </c>
      <c r="AH60" s="115" t="n">
        <v>0.036</v>
      </c>
      <c r="AI60" s="117" t="n">
        <v>0.019</v>
      </c>
    </row>
    <row r="61" customFormat="false" ht="17.25" hidden="false" customHeight="true" outlineLevel="0" collapsed="false">
      <c r="AG61" s="115" t="n">
        <v>56</v>
      </c>
      <c r="AH61" s="115" t="n">
        <v>0.036</v>
      </c>
      <c r="AI61" s="116" t="n">
        <v>0.018</v>
      </c>
    </row>
    <row r="62" customFormat="false" ht="17.25" hidden="false" customHeight="true" outlineLevel="0" collapsed="false">
      <c r="AG62" s="115" t="n">
        <v>57</v>
      </c>
      <c r="AH62" s="115" t="n">
        <v>0.035</v>
      </c>
      <c r="AI62" s="117" t="n">
        <v>0.018</v>
      </c>
    </row>
    <row r="63" customFormat="false" ht="17.25" hidden="false" customHeight="true" outlineLevel="0" collapsed="false">
      <c r="AG63" s="115" t="n">
        <v>58</v>
      </c>
      <c r="AH63" s="115" t="n">
        <v>0.034</v>
      </c>
      <c r="AI63" s="116" t="n">
        <v>0.018</v>
      </c>
    </row>
    <row r="64" customFormat="false" ht="17.25" hidden="false" customHeight="true" outlineLevel="0" collapsed="false">
      <c r="AG64" s="115" t="n">
        <v>59</v>
      </c>
      <c r="AH64" s="115" t="n">
        <v>0.034</v>
      </c>
      <c r="AI64" s="117" t="n">
        <v>0.017</v>
      </c>
    </row>
    <row r="65" customFormat="false" ht="17.25" hidden="false" customHeight="true" outlineLevel="0" collapsed="false">
      <c r="AG65" s="115" t="n">
        <v>60</v>
      </c>
      <c r="AH65" s="115" t="n">
        <v>0.033</v>
      </c>
      <c r="AI65" s="116" t="n">
        <v>0.017</v>
      </c>
    </row>
    <row r="66" customFormat="false" ht="17.25" hidden="false" customHeight="true" outlineLevel="0" collapsed="false">
      <c r="AG66" s="115" t="n">
        <v>61</v>
      </c>
      <c r="AH66" s="115" t="n">
        <v>0.033</v>
      </c>
      <c r="AI66" s="117" t="n">
        <v>0.017</v>
      </c>
    </row>
    <row r="67" customFormat="false" ht="17.25" hidden="false" customHeight="true" outlineLevel="0" collapsed="false">
      <c r="AG67" s="115" t="n">
        <v>62</v>
      </c>
      <c r="AH67" s="115" t="n">
        <v>0.032</v>
      </c>
      <c r="AI67" s="116" t="n">
        <v>0.017</v>
      </c>
    </row>
    <row r="68" customFormat="false" ht="17.25" hidden="false" customHeight="true" outlineLevel="0" collapsed="false">
      <c r="AG68" s="115" t="n">
        <v>63</v>
      </c>
      <c r="AH68" s="115" t="n">
        <v>0.032</v>
      </c>
      <c r="AI68" s="117" t="n">
        <v>0.016</v>
      </c>
    </row>
    <row r="69" customFormat="false" ht="17.25" hidden="false" customHeight="true" outlineLevel="0" collapsed="false">
      <c r="AG69" s="115" t="n">
        <v>64</v>
      </c>
      <c r="AH69" s="115" t="n">
        <v>0.031</v>
      </c>
      <c r="AI69" s="116" t="n">
        <v>0.016</v>
      </c>
    </row>
    <row r="70" customFormat="false" ht="17.25" hidden="false" customHeight="true" outlineLevel="0" collapsed="false">
      <c r="AG70" s="115" t="n">
        <v>65</v>
      </c>
      <c r="AH70" s="115" t="n">
        <v>0.031</v>
      </c>
      <c r="AI70" s="117" t="n">
        <v>0.016</v>
      </c>
    </row>
    <row r="71" customFormat="false" ht="17.25" hidden="false" customHeight="true" outlineLevel="0" collapsed="false">
      <c r="AG71" s="115" t="n">
        <v>66</v>
      </c>
      <c r="AH71" s="115" t="n">
        <v>0.03</v>
      </c>
      <c r="AI71" s="116" t="n">
        <v>0.016</v>
      </c>
    </row>
    <row r="72" customFormat="false" ht="17.25" hidden="false" customHeight="true" outlineLevel="0" collapsed="false">
      <c r="AG72" s="115" t="n">
        <v>67</v>
      </c>
      <c r="AH72" s="115" t="n">
        <v>0.03</v>
      </c>
      <c r="AI72" s="117" t="n">
        <v>0.015</v>
      </c>
    </row>
    <row r="73" customFormat="false" ht="17.25" hidden="false" customHeight="true" outlineLevel="0" collapsed="false">
      <c r="AG73" s="115" t="n">
        <v>68</v>
      </c>
      <c r="AH73" s="115" t="n">
        <v>0.029</v>
      </c>
      <c r="AI73" s="116" t="n">
        <v>0.015</v>
      </c>
    </row>
    <row r="74" customFormat="false" ht="17.25" hidden="false" customHeight="true" outlineLevel="0" collapsed="false">
      <c r="AG74" s="115" t="n">
        <v>69</v>
      </c>
      <c r="AH74" s="115" t="n">
        <v>0.029</v>
      </c>
      <c r="AI74" s="117" t="n">
        <v>0.015</v>
      </c>
    </row>
    <row r="75" customFormat="false" ht="17.25" hidden="false" customHeight="true" outlineLevel="0" collapsed="false">
      <c r="AG75" s="115" t="n">
        <v>70</v>
      </c>
      <c r="AH75" s="115" t="n">
        <v>0.029</v>
      </c>
      <c r="AI75" s="116" t="n">
        <v>0.015</v>
      </c>
    </row>
    <row r="76" customFormat="false" ht="17.25" hidden="false" customHeight="true" outlineLevel="0" collapsed="false">
      <c r="AG76" s="115" t="n">
        <v>71</v>
      </c>
      <c r="AH76" s="115" t="n">
        <v>0.028</v>
      </c>
      <c r="AI76" s="117" t="n">
        <v>0.015</v>
      </c>
    </row>
    <row r="77" customFormat="false" ht="17.25" hidden="false" customHeight="true" outlineLevel="0" collapsed="false">
      <c r="AG77" s="115" t="n">
        <v>72</v>
      </c>
      <c r="AH77" s="115" t="n">
        <v>0.028</v>
      </c>
      <c r="AI77" s="116" t="n">
        <v>0.014</v>
      </c>
    </row>
    <row r="78" customFormat="false" ht="17.25" hidden="false" customHeight="true" outlineLevel="0" collapsed="false">
      <c r="AG78" s="115" t="n">
        <v>73</v>
      </c>
      <c r="AH78" s="115" t="n">
        <v>0.027</v>
      </c>
      <c r="AI78" s="117" t="n">
        <v>0.014</v>
      </c>
    </row>
    <row r="79" customFormat="false" ht="17.25" hidden="false" customHeight="true" outlineLevel="0" collapsed="false">
      <c r="AG79" s="115" t="n">
        <v>74</v>
      </c>
      <c r="AH79" s="115" t="n">
        <v>0.027</v>
      </c>
      <c r="AI79" s="116" t="n">
        <v>0.014</v>
      </c>
    </row>
    <row r="80" customFormat="false" ht="17.25" hidden="false" customHeight="true" outlineLevel="0" collapsed="false">
      <c r="AG80" s="115" t="n">
        <v>75</v>
      </c>
      <c r="AH80" s="115" t="n">
        <v>0.027</v>
      </c>
      <c r="AI80" s="117" t="n">
        <v>0.014</v>
      </c>
    </row>
    <row r="81" customFormat="false" ht="17.25" hidden="false" customHeight="true" outlineLevel="0" collapsed="false">
      <c r="AG81" s="115" t="n">
        <v>76</v>
      </c>
      <c r="AH81" s="115" t="n">
        <v>0.026</v>
      </c>
      <c r="AI81" s="116" t="n">
        <v>0.014</v>
      </c>
    </row>
    <row r="82" customFormat="false" ht="17.25" hidden="false" customHeight="true" outlineLevel="0" collapsed="false">
      <c r="AG82" s="115" t="n">
        <v>77</v>
      </c>
      <c r="AH82" s="115" t="n">
        <v>0.026</v>
      </c>
      <c r="AI82" s="117" t="n">
        <v>0.013</v>
      </c>
    </row>
    <row r="83" customFormat="false" ht="17.25" hidden="false" customHeight="true" outlineLevel="0" collapsed="false">
      <c r="AG83" s="115" t="n">
        <v>78</v>
      </c>
      <c r="AH83" s="115" t="n">
        <v>0.026</v>
      </c>
      <c r="AI83" s="116" t="n">
        <v>0.013</v>
      </c>
    </row>
    <row r="84" customFormat="false" ht="17.25" hidden="false" customHeight="true" outlineLevel="0" collapsed="false">
      <c r="AG84" s="115" t="n">
        <v>79</v>
      </c>
      <c r="AH84" s="115" t="n">
        <v>0.025</v>
      </c>
      <c r="AI84" s="117" t="n">
        <v>0.013</v>
      </c>
    </row>
    <row r="85" customFormat="false" ht="17.25" hidden="false" customHeight="true" outlineLevel="0" collapsed="false">
      <c r="AG85" s="115" t="n">
        <v>80</v>
      </c>
      <c r="AH85" s="115" t="n">
        <v>0.025</v>
      </c>
      <c r="AI85" s="116" t="n">
        <v>0.013</v>
      </c>
    </row>
    <row r="86" customFormat="false" ht="17.25" hidden="false" customHeight="true" outlineLevel="0" collapsed="false">
      <c r="AG86" s="115" t="n">
        <v>81</v>
      </c>
      <c r="AH86" s="115" t="n">
        <v>0.025</v>
      </c>
      <c r="AI86" s="117" t="n">
        <v>0.013</v>
      </c>
    </row>
    <row r="87" customFormat="false" ht="17.25" hidden="false" customHeight="true" outlineLevel="0" collapsed="false">
      <c r="AG87" s="115" t="n">
        <v>82</v>
      </c>
      <c r="AH87" s="115" t="n">
        <v>0.024</v>
      </c>
      <c r="AI87" s="116" t="n">
        <v>0.013</v>
      </c>
    </row>
    <row r="88" customFormat="false" ht="17.25" hidden="false" customHeight="true" outlineLevel="0" collapsed="false">
      <c r="AG88" s="115" t="n">
        <v>83</v>
      </c>
      <c r="AH88" s="115" t="n">
        <v>0.024</v>
      </c>
      <c r="AI88" s="117" t="n">
        <v>0.013</v>
      </c>
    </row>
    <row r="89" customFormat="false" ht="17.25" hidden="false" customHeight="true" outlineLevel="0" collapsed="false">
      <c r="AG89" s="115" t="n">
        <v>84</v>
      </c>
      <c r="AH89" s="115" t="n">
        <v>0.024</v>
      </c>
      <c r="AI89" s="116" t="n">
        <v>0.012</v>
      </c>
    </row>
    <row r="90" customFormat="false" ht="17.25" hidden="false" customHeight="true" outlineLevel="0" collapsed="false">
      <c r="AG90" s="115" t="n">
        <v>85</v>
      </c>
      <c r="AH90" s="115" t="n">
        <v>0.024</v>
      </c>
      <c r="AI90" s="117" t="n">
        <v>0.012</v>
      </c>
    </row>
    <row r="91" customFormat="false" ht="17.25" hidden="false" customHeight="true" outlineLevel="0" collapsed="false">
      <c r="AG91" s="115" t="n">
        <v>86</v>
      </c>
      <c r="AH91" s="115" t="n">
        <v>0.023</v>
      </c>
      <c r="AI91" s="116" t="n">
        <v>0.012</v>
      </c>
    </row>
    <row r="92" customFormat="false" ht="17.25" hidden="false" customHeight="true" outlineLevel="0" collapsed="false">
      <c r="AG92" s="115" t="n">
        <v>87</v>
      </c>
      <c r="AH92" s="115" t="n">
        <v>0.023</v>
      </c>
      <c r="AI92" s="117" t="n">
        <v>0.012</v>
      </c>
    </row>
    <row r="93" customFormat="false" ht="17.25" hidden="false" customHeight="true" outlineLevel="0" collapsed="false">
      <c r="AG93" s="115" t="n">
        <v>88</v>
      </c>
      <c r="AH93" s="115" t="n">
        <v>0.023</v>
      </c>
      <c r="AI93" s="116" t="n">
        <v>0.012</v>
      </c>
    </row>
    <row r="94" customFormat="false" ht="17.25" hidden="false" customHeight="true" outlineLevel="0" collapsed="false">
      <c r="AG94" s="115" t="n">
        <v>89</v>
      </c>
      <c r="AH94" s="115" t="n">
        <v>0.022</v>
      </c>
      <c r="AI94" s="117" t="n">
        <v>0.012</v>
      </c>
    </row>
    <row r="95" customFormat="false" ht="17.25" hidden="false" customHeight="true" outlineLevel="0" collapsed="false">
      <c r="AG95" s="115" t="n">
        <v>90</v>
      </c>
      <c r="AH95" s="115" t="n">
        <v>0.022</v>
      </c>
      <c r="AI95" s="116" t="n">
        <v>0.012</v>
      </c>
    </row>
    <row r="96" customFormat="false" ht="17.25" hidden="false" customHeight="true" outlineLevel="0" collapsed="false">
      <c r="AG96" s="115" t="n">
        <v>91</v>
      </c>
      <c r="AH96" s="115" t="n">
        <v>0.022</v>
      </c>
      <c r="AI96" s="117" t="n">
        <v>0.011</v>
      </c>
    </row>
    <row r="97" customFormat="false" ht="17.25" hidden="false" customHeight="true" outlineLevel="0" collapsed="false">
      <c r="AG97" s="115" t="n">
        <v>92</v>
      </c>
      <c r="AH97" s="115" t="n">
        <v>0.022</v>
      </c>
      <c r="AI97" s="116" t="n">
        <v>0.011</v>
      </c>
    </row>
    <row r="98" customFormat="false" ht="17.25" hidden="false" customHeight="true" outlineLevel="0" collapsed="false">
      <c r="AG98" s="115" t="n">
        <v>93</v>
      </c>
      <c r="AH98" s="115" t="n">
        <v>0.022</v>
      </c>
      <c r="AI98" s="117" t="n">
        <v>0.011</v>
      </c>
    </row>
    <row r="99" customFormat="false" ht="17.25" hidden="false" customHeight="true" outlineLevel="0" collapsed="false">
      <c r="AG99" s="115" t="n">
        <v>94</v>
      </c>
      <c r="AH99" s="115" t="n">
        <v>0.021</v>
      </c>
      <c r="AI99" s="116" t="n">
        <v>0.011</v>
      </c>
    </row>
    <row r="100" customFormat="false" ht="17.25" hidden="false" customHeight="true" outlineLevel="0" collapsed="false">
      <c r="AG100" s="115" t="n">
        <v>95</v>
      </c>
      <c r="AH100" s="115" t="n">
        <v>0.021</v>
      </c>
      <c r="AI100" s="117" t="n">
        <v>0.011</v>
      </c>
    </row>
    <row r="101" customFormat="false" ht="17.25" hidden="false" customHeight="true" outlineLevel="0" collapsed="false">
      <c r="AG101" s="115" t="n">
        <v>96</v>
      </c>
      <c r="AH101" s="115" t="n">
        <v>0.021</v>
      </c>
      <c r="AI101" s="116" t="n">
        <v>0.011</v>
      </c>
    </row>
    <row r="102" customFormat="false" ht="17.25" hidden="false" customHeight="true" outlineLevel="0" collapsed="false">
      <c r="AG102" s="115" t="n">
        <v>97</v>
      </c>
      <c r="AH102" s="115" t="n">
        <v>0.021</v>
      </c>
      <c r="AI102" s="117" t="n">
        <v>0.011</v>
      </c>
    </row>
    <row r="103" customFormat="false" ht="17.25" hidden="false" customHeight="true" outlineLevel="0" collapsed="false">
      <c r="AG103" s="115" t="n">
        <v>98</v>
      </c>
      <c r="AH103" s="115" t="n">
        <v>0.02</v>
      </c>
      <c r="AI103" s="116" t="n">
        <v>0.011</v>
      </c>
    </row>
    <row r="104" customFormat="false" ht="17.25" hidden="false" customHeight="true" outlineLevel="0" collapsed="false">
      <c r="AG104" s="115"/>
    </row>
  </sheetData>
  <mergeCells count="2">
    <mergeCell ref="A1:C2"/>
    <mergeCell ref="E16:F16"/>
  </mergeCells>
  <dataValidations count="1">
    <dataValidation allowBlank="true" operator="between" showDropDown="false" showErrorMessage="true" showInputMessage="true" sqref="D5:D15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W46"/>
  <sheetViews>
    <sheetView showFormulas="false" showGridLines="fals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E19" activeCellId="0" sqref="E19"/>
    </sheetView>
  </sheetViews>
  <sheetFormatPr defaultColWidth="9.00390625" defaultRowHeight="18.75" zeroHeight="false" outlineLevelRow="0" outlineLevelCol="0"/>
  <cols>
    <col collapsed="false" customWidth="false" hidden="false" outlineLevel="0" max="1" min="1" style="60" width="9"/>
    <col collapsed="false" customWidth="true" hidden="false" outlineLevel="0" max="2" min="2" style="60" width="2.63"/>
    <col collapsed="false" customWidth="true" hidden="false" outlineLevel="0" max="3" min="3" style="60" width="8.38"/>
    <col collapsed="false" customWidth="true" hidden="false" outlineLevel="0" max="4" min="4" style="60" width="3.13"/>
    <col collapsed="false" customWidth="true" hidden="false" outlineLevel="0" max="22" min="5" style="60" width="11.38"/>
    <col collapsed="false" customWidth="true" hidden="false" outlineLevel="0" max="23" min="23" style="60" width="2.63"/>
    <col collapsed="false" customWidth="false" hidden="false" outlineLevel="0" max="1024" min="24" style="60" width="9"/>
  </cols>
  <sheetData>
    <row r="2" customFormat="false" ht="18.75" hidden="false" customHeight="true" outlineLevel="0" collapsed="false">
      <c r="B2" s="61" t="s">
        <v>169</v>
      </c>
      <c r="G2" s="122"/>
      <c r="V2" s="123" t="n">
        <f aca="false">+①基礎情報!G1</f>
        <v>44652</v>
      </c>
    </row>
    <row r="3" customFormat="false" ht="18.75" hidden="false" customHeight="true" outlineLevel="0" collapsed="false">
      <c r="B3" s="61"/>
      <c r="V3" s="100" t="s">
        <v>170</v>
      </c>
    </row>
    <row r="4" s="124" customFormat="true" ht="18.75" hidden="false" customHeight="true" outlineLevel="0" collapsed="false">
      <c r="B4" s="125"/>
      <c r="E4" s="126" t="n">
        <f aca="false">$V$2</f>
        <v>44652</v>
      </c>
      <c r="F4" s="126" t="n">
        <f aca="false">DATE(YEAR(E4),MONTH(E4)+1,1)</f>
        <v>44682</v>
      </c>
      <c r="G4" s="126" t="n">
        <f aca="false">DATE(YEAR(F4),MONTH(F4)+1,1)</f>
        <v>44713</v>
      </c>
      <c r="H4" s="126" t="n">
        <f aca="false">DATE(YEAR(G4),MONTH(G4)+1,1)</f>
        <v>44743</v>
      </c>
      <c r="I4" s="126" t="n">
        <f aca="false">DATE(YEAR(H4),MONTH(H4)+1,1)</f>
        <v>44774</v>
      </c>
      <c r="J4" s="126" t="n">
        <f aca="false">DATE(YEAR(I4),MONTH(I4)+1,1)</f>
        <v>44805</v>
      </c>
      <c r="K4" s="126" t="n">
        <f aca="false">DATE(YEAR(J4),MONTH(J4)+1,1)</f>
        <v>44835</v>
      </c>
      <c r="L4" s="126" t="n">
        <f aca="false">DATE(YEAR(K4),MONTH(K4)+1,1)</f>
        <v>44866</v>
      </c>
      <c r="M4" s="126" t="n">
        <f aca="false">DATE(YEAR(L4),MONTH(L4)+1,1)</f>
        <v>44896</v>
      </c>
      <c r="N4" s="126" t="n">
        <f aca="false">DATE(YEAR(M4),MONTH(M4)+1,1)</f>
        <v>44927</v>
      </c>
      <c r="O4" s="126" t="n">
        <f aca="false">DATE(YEAR(N4),MONTH(N4)+1,1)</f>
        <v>44958</v>
      </c>
      <c r="P4" s="126" t="n">
        <f aca="false">DATE(YEAR(O4),MONTH(O4)+1,1)</f>
        <v>44986</v>
      </c>
      <c r="Q4" s="126" t="n">
        <f aca="false">DATE(YEAR(P4),MONTH(P4)+1,1)</f>
        <v>45017</v>
      </c>
      <c r="R4" s="126" t="n">
        <f aca="false">DATE(YEAR(Q4),MONTH(Q4)+1,1)</f>
        <v>45047</v>
      </c>
      <c r="S4" s="126" t="n">
        <f aca="false">DATE(YEAR(R4),MONTH(R4)+1,1)</f>
        <v>45078</v>
      </c>
      <c r="T4" s="126" t="n">
        <f aca="false">DATE(YEAR(S4),MONTH(S4)+1,1)</f>
        <v>45108</v>
      </c>
      <c r="U4" s="126" t="n">
        <f aca="false">DATE(YEAR(T4),MONTH(T4)+1,1)</f>
        <v>45139</v>
      </c>
    </row>
    <row r="5" s="122" customFormat="true" ht="18.75" hidden="false" customHeight="true" outlineLevel="0" collapsed="false">
      <c r="D5" s="127" t="s">
        <v>58</v>
      </c>
      <c r="E5" s="128" t="n">
        <f aca="false">YEAR(E4)</f>
        <v>2022</v>
      </c>
      <c r="F5" s="128" t="n">
        <f aca="false">YEAR(F4)</f>
        <v>2022</v>
      </c>
      <c r="G5" s="128" t="n">
        <f aca="false">YEAR(G4)</f>
        <v>2022</v>
      </c>
      <c r="H5" s="128" t="n">
        <f aca="false">YEAR(H4)</f>
        <v>2022</v>
      </c>
      <c r="I5" s="128" t="n">
        <f aca="false">YEAR(I4)</f>
        <v>2022</v>
      </c>
      <c r="J5" s="128" t="n">
        <f aca="false">YEAR(J4)</f>
        <v>2022</v>
      </c>
      <c r="K5" s="128" t="n">
        <f aca="false">YEAR(K4)</f>
        <v>2022</v>
      </c>
      <c r="L5" s="128" t="n">
        <f aca="false">YEAR(L4)</f>
        <v>2022</v>
      </c>
      <c r="M5" s="128" t="n">
        <f aca="false">YEAR(M4)</f>
        <v>2022</v>
      </c>
      <c r="N5" s="128" t="n">
        <f aca="false">YEAR(N4)</f>
        <v>2023</v>
      </c>
      <c r="O5" s="128" t="n">
        <f aca="false">YEAR(O4)</f>
        <v>2023</v>
      </c>
      <c r="P5" s="128" t="n">
        <f aca="false">YEAR(P4)</f>
        <v>2023</v>
      </c>
      <c r="Q5" s="128" t="n">
        <f aca="false">YEAR(Q4)</f>
        <v>2023</v>
      </c>
      <c r="R5" s="128" t="n">
        <f aca="false">YEAR(R4)</f>
        <v>2023</v>
      </c>
      <c r="S5" s="128" t="n">
        <f aca="false">YEAR(S4)</f>
        <v>2023</v>
      </c>
      <c r="T5" s="128" t="n">
        <f aca="false">YEAR(T4)</f>
        <v>2023</v>
      </c>
      <c r="U5" s="128" t="n">
        <f aca="false">YEAR(U4)</f>
        <v>2023</v>
      </c>
      <c r="V5" s="128" t="s">
        <v>171</v>
      </c>
    </row>
    <row r="6" s="122" customFormat="true" ht="18.75" hidden="false" customHeight="true" outlineLevel="0" collapsed="false">
      <c r="D6" s="129" t="s">
        <v>55</v>
      </c>
      <c r="E6" s="130" t="n">
        <f aca="false">MONTH(E4)</f>
        <v>4</v>
      </c>
      <c r="F6" s="130" t="n">
        <f aca="false">MONTH(F4)</f>
        <v>5</v>
      </c>
      <c r="G6" s="130" t="n">
        <f aca="false">MONTH(G4)</f>
        <v>6</v>
      </c>
      <c r="H6" s="130" t="n">
        <f aca="false">MONTH(H4)</f>
        <v>7</v>
      </c>
      <c r="I6" s="130" t="n">
        <f aca="false">MONTH(I4)</f>
        <v>8</v>
      </c>
      <c r="J6" s="130" t="n">
        <f aca="false">MONTH(J4)</f>
        <v>9</v>
      </c>
      <c r="K6" s="130" t="n">
        <f aca="false">MONTH(K4)</f>
        <v>10</v>
      </c>
      <c r="L6" s="130" t="n">
        <f aca="false">MONTH(L4)</f>
        <v>11</v>
      </c>
      <c r="M6" s="130" t="n">
        <f aca="false">MONTH(M4)</f>
        <v>12</v>
      </c>
      <c r="N6" s="130" t="n">
        <f aca="false">MONTH(N4)</f>
        <v>1</v>
      </c>
      <c r="O6" s="130" t="n">
        <f aca="false">MONTH(O4)</f>
        <v>2</v>
      </c>
      <c r="P6" s="130" t="n">
        <f aca="false">MONTH(P4)</f>
        <v>3</v>
      </c>
      <c r="Q6" s="130" t="n">
        <f aca="false">MONTH(Q4)</f>
        <v>4</v>
      </c>
      <c r="R6" s="130" t="n">
        <f aca="false">MONTH(R4)</f>
        <v>5</v>
      </c>
      <c r="S6" s="130" t="n">
        <f aca="false">MONTH(S4)</f>
        <v>6</v>
      </c>
      <c r="T6" s="130" t="n">
        <f aca="false">MONTH(T4)</f>
        <v>7</v>
      </c>
      <c r="U6" s="130" t="n">
        <f aca="false">MONTH(U4)</f>
        <v>8</v>
      </c>
      <c r="V6" s="130"/>
    </row>
    <row r="7" s="122" customFormat="true" ht="18.75" hidden="false" customHeight="true" outlineLevel="0" collapsed="false">
      <c r="D7" s="127"/>
      <c r="E7" s="130" t="str">
        <f aca="false">+IF(COUNTIF(⑦損益シミュレーション!$B$6:D6,①基礎情報!$F$4)=1,"2期目","1期目")</f>
        <v>1期目</v>
      </c>
      <c r="F7" s="130" t="str">
        <f aca="false">+IF(COUNTIF(⑦損益シミュレーション!$B$6:E6,①基礎情報!$F$4)=1,"2期目","1期目")</f>
        <v>1期目</v>
      </c>
      <c r="G7" s="130" t="str">
        <f aca="false">+IF(COUNTIF(⑦損益シミュレーション!$B$6:F6,①基礎情報!$F$4)=1,"2期目","1期目")</f>
        <v>1期目</v>
      </c>
      <c r="H7" s="130" t="str">
        <f aca="false">+IF(COUNTIF(⑦損益シミュレーション!$B$6:G6,①基礎情報!$F$4)=1,"2期目","1期目")</f>
        <v>1期目</v>
      </c>
      <c r="I7" s="130" t="str">
        <f aca="false">+IF(COUNTIF(⑦損益シミュレーション!$B$6:H6,①基礎情報!$F$4)=1,"2期目","1期目")</f>
        <v>1期目</v>
      </c>
      <c r="J7" s="130" t="str">
        <f aca="false">+IF(COUNTIF(⑦損益シミュレーション!$B$6:I6,①基礎情報!$F$4)=1,"2期目","1期目")</f>
        <v>1期目</v>
      </c>
      <c r="K7" s="130" t="str">
        <f aca="false">+IF(COUNTIF(⑦損益シミュレーション!$B$6:J6,①基礎情報!$F$4)=1,"2期目","1期目")</f>
        <v>1期目</v>
      </c>
      <c r="L7" s="130" t="str">
        <f aca="false">+IF(COUNTIF(⑦損益シミュレーション!$B$6:K6,①基礎情報!$F$4)=1,"2期目","1期目")</f>
        <v>1期目</v>
      </c>
      <c r="M7" s="130" t="str">
        <f aca="false">+IF(COUNTIF(⑦損益シミュレーション!$B$6:L6,①基礎情報!$F$4)=1,"2期目","1期目")</f>
        <v>1期目</v>
      </c>
      <c r="N7" s="130" t="str">
        <f aca="false">+IF(COUNTIF(⑦損益シミュレーション!$B$6:M6,①基礎情報!$F$4)=1,"2期目","1期目")</f>
        <v>2期目</v>
      </c>
      <c r="O7" s="130" t="str">
        <f aca="false">+IF(COUNTIF(⑦損益シミュレーション!$B$6:N6,①基礎情報!$F$4)=1,"2期目","1期目")</f>
        <v>2期目</v>
      </c>
      <c r="P7" s="130" t="str">
        <f aca="false">+IF(COUNTIF(⑦損益シミュレーション!$B$6:O6,①基礎情報!$F$4)=1,"2期目","1期目")</f>
        <v>2期目</v>
      </c>
      <c r="Q7" s="130" t="str">
        <f aca="false">+IF(COUNTIF(⑦損益シミュレーション!$B$6:P6,①基礎情報!$F$4)=1,"2期目","1期目")</f>
        <v>2期目</v>
      </c>
      <c r="R7" s="130" t="str">
        <f aca="false">+IF(COUNTIF(⑦損益シミュレーション!$B$6:Q6,①基礎情報!$F$4)=1,"2期目","1期目")</f>
        <v>2期目</v>
      </c>
      <c r="S7" s="130" t="str">
        <f aca="false">+IF(COUNTIF(⑦損益シミュレーション!$B$6:R6,①基礎情報!$F$4)=1,"2期目","1期目")</f>
        <v>2期目</v>
      </c>
      <c r="T7" s="130" t="str">
        <f aca="false">+IF(COUNTIF(⑦損益シミュレーション!$B$6:S6,①基礎情報!$F$4)=1,"2期目","1期目")</f>
        <v>2期目</v>
      </c>
      <c r="U7" s="130" t="str">
        <f aca="false">+IF(COUNTIF(⑦損益シミュレーション!$B$6:T6,①基礎情報!$F$4)=1,"2期目","1期目")</f>
        <v>2期目</v>
      </c>
      <c r="V7" s="130"/>
    </row>
    <row r="8" s="122" customFormat="true" ht="18.75" hidden="false" customHeight="true" outlineLevel="0" collapsed="false">
      <c r="B8" s="131" t="s">
        <v>172</v>
      </c>
      <c r="C8" s="131"/>
      <c r="D8" s="131"/>
      <c r="E8" s="132" t="n">
        <f aca="false">③売上・原価!R41</f>
        <v>150000</v>
      </c>
      <c r="F8" s="132" t="n">
        <f aca="false">③売上・原価!S41</f>
        <v>150000</v>
      </c>
      <c r="G8" s="132" t="n">
        <f aca="false">③売上・原価!T41</f>
        <v>150000</v>
      </c>
      <c r="H8" s="132" t="n">
        <f aca="false">③売上・原価!U41</f>
        <v>926000</v>
      </c>
      <c r="I8" s="132" t="n">
        <f aca="false">③売上・原価!V41</f>
        <v>998000</v>
      </c>
      <c r="J8" s="132" t="n">
        <f aca="false">③売上・原価!W41</f>
        <v>1070000</v>
      </c>
      <c r="K8" s="132" t="n">
        <f aca="false">③売上・原価!X41</f>
        <v>1592000</v>
      </c>
      <c r="L8" s="132" t="n">
        <f aca="false">③売上・原価!Y41</f>
        <v>1664000</v>
      </c>
      <c r="M8" s="132" t="n">
        <f aca="false">③売上・原価!Z41</f>
        <v>937500</v>
      </c>
      <c r="N8" s="132" t="n">
        <f aca="false">③売上・原価!AA41</f>
        <v>984375</v>
      </c>
      <c r="O8" s="132" t="n">
        <f aca="false">③売上・原価!AB41</f>
        <v>1033593.75</v>
      </c>
      <c r="P8" s="132" t="n">
        <f aca="false">③売上・原価!AC41</f>
        <v>1085273.4375</v>
      </c>
      <c r="Q8" s="132" t="n">
        <f aca="false">③売上・原価!AD41</f>
        <v>1139537.109375</v>
      </c>
      <c r="R8" s="132" t="n">
        <f aca="false">③売上・原価!AE41</f>
        <v>1196513.96484375</v>
      </c>
      <c r="S8" s="132" t="n">
        <f aca="false">③売上・原価!AF41</f>
        <v>1256339.66308594</v>
      </c>
      <c r="T8" s="132" t="n">
        <f aca="false">③売上・原価!AG41</f>
        <v>1319156.64624023</v>
      </c>
      <c r="U8" s="132" t="n">
        <f aca="false">③売上・原価!AH41</f>
        <v>1385114.47855225</v>
      </c>
      <c r="V8" s="132" t="n">
        <f aca="false">SUM(E8:U8)</f>
        <v>17037404.0495972</v>
      </c>
      <c r="W8" s="122" t="n">
        <f aca="false">+V8-N28</f>
        <v>0</v>
      </c>
    </row>
    <row r="9" s="122" customFormat="true" ht="18.75" hidden="false" customHeight="true" outlineLevel="0" collapsed="false">
      <c r="B9" s="133"/>
      <c r="C9" s="133"/>
      <c r="D9" s="133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 t="n">
        <f aca="false">SUM(E9:U9)</f>
        <v>0</v>
      </c>
      <c r="W9" s="122" t="n">
        <f aca="false">+V9-N29</f>
        <v>0</v>
      </c>
    </row>
    <row r="10" customFormat="false" ht="22.5" hidden="false" customHeight="true" outlineLevel="0" collapsed="false">
      <c r="B10" s="134" t="s">
        <v>173</v>
      </c>
      <c r="C10" s="134"/>
      <c r="D10" s="134"/>
      <c r="E10" s="135" t="n">
        <f aca="false">+E8-E9</f>
        <v>150000</v>
      </c>
      <c r="F10" s="135" t="n">
        <f aca="false">+F8-F9</f>
        <v>150000</v>
      </c>
      <c r="G10" s="135" t="n">
        <f aca="false">+G8-G9</f>
        <v>150000</v>
      </c>
      <c r="H10" s="135" t="n">
        <f aca="false">+H8-H9</f>
        <v>926000</v>
      </c>
      <c r="I10" s="135" t="n">
        <f aca="false">+I8-I9</f>
        <v>998000</v>
      </c>
      <c r="J10" s="135" t="n">
        <f aca="false">+J8-J9</f>
        <v>1070000</v>
      </c>
      <c r="K10" s="135" t="n">
        <f aca="false">+K8-K9</f>
        <v>1592000</v>
      </c>
      <c r="L10" s="135" t="n">
        <f aca="false">+L8-L9</f>
        <v>1664000</v>
      </c>
      <c r="M10" s="135" t="n">
        <f aca="false">+M8-M9</f>
        <v>937500</v>
      </c>
      <c r="N10" s="135" t="n">
        <f aca="false">+N8-N9</f>
        <v>984375</v>
      </c>
      <c r="O10" s="135" t="n">
        <f aca="false">+O8-O9</f>
        <v>1033593.75</v>
      </c>
      <c r="P10" s="135" t="n">
        <f aca="false">+P8-P9</f>
        <v>1085273.4375</v>
      </c>
      <c r="Q10" s="135" t="n">
        <f aca="false">+Q8-Q9</f>
        <v>1139537.109375</v>
      </c>
      <c r="R10" s="135" t="n">
        <f aca="false">+R8-R9</f>
        <v>1196513.96484375</v>
      </c>
      <c r="S10" s="135" t="n">
        <f aca="false">+S8-S9</f>
        <v>1256339.66308594</v>
      </c>
      <c r="T10" s="135" t="n">
        <f aca="false">+T8-T9</f>
        <v>1319156.64624023</v>
      </c>
      <c r="U10" s="135" t="n">
        <f aca="false">+U8-U9</f>
        <v>1385114.47855225</v>
      </c>
      <c r="V10" s="135" t="n">
        <f aca="false">SUM(E10:U10)</f>
        <v>17037404.0495972</v>
      </c>
      <c r="W10" s="60" t="n">
        <f aca="false">+V10-N30</f>
        <v>0</v>
      </c>
    </row>
    <row r="11" s="122" customFormat="true" ht="18.75" hidden="false" customHeight="true" outlineLevel="0" collapsed="false">
      <c r="B11" s="136" t="s">
        <v>174</v>
      </c>
      <c r="C11" s="136"/>
      <c r="D11" s="136"/>
      <c r="E11" s="132" t="n">
        <f aca="false">SUM(E12:E21)</f>
        <v>189833</v>
      </c>
      <c r="F11" s="132" t="n">
        <f aca="false">SUM(F12:F21)</f>
        <v>189833</v>
      </c>
      <c r="G11" s="132" t="n">
        <f aca="false">SUM(G12:G21)</f>
        <v>198166.333333333</v>
      </c>
      <c r="H11" s="132" t="n">
        <f aca="false">SUM(H12:H21)</f>
        <v>1294259.66666667</v>
      </c>
      <c r="I11" s="132" t="n">
        <f aca="false">SUM(I12:I21)</f>
        <v>1304979.66666667</v>
      </c>
      <c r="J11" s="132" t="n">
        <f aca="false">SUM(J12:J21)</f>
        <v>1329033</v>
      </c>
      <c r="K11" s="132" t="n">
        <f aca="false">SUM(K12:K21)</f>
        <v>1702253</v>
      </c>
      <c r="L11" s="132" t="n">
        <f aca="false">SUM(L12:L21)</f>
        <v>1702973</v>
      </c>
      <c r="M11" s="132" t="n">
        <f aca="false">SUM(M12:M21)</f>
        <v>835708</v>
      </c>
      <c r="N11" s="132" t="n">
        <f aca="false">SUM(N12:N21)</f>
        <v>967287.75</v>
      </c>
      <c r="O11" s="132" t="n">
        <f aca="false">SUM(O12:O21)</f>
        <v>901379.9375</v>
      </c>
      <c r="P11" s="132" t="n">
        <f aca="false">SUM(P12:P21)</f>
        <v>937176.734375</v>
      </c>
      <c r="Q11" s="132" t="n">
        <f aca="false">SUM(Q12:Q21)</f>
        <v>974763.37109375</v>
      </c>
      <c r="R11" s="132" t="n">
        <f aca="false">SUM(R12:R21)</f>
        <v>1014229.33964844</v>
      </c>
      <c r="S11" s="132" t="n">
        <f aca="false">SUM(S12:S21)</f>
        <v>1055668.60663086</v>
      </c>
      <c r="T11" s="132" t="n">
        <f aca="false">SUM(T12:T21)</f>
        <v>1099179.8369624</v>
      </c>
      <c r="U11" s="132" t="n">
        <f aca="false">SUM(U12:U21)</f>
        <v>1144866.62881052</v>
      </c>
      <c r="V11" s="132" t="n">
        <f aca="false">SUM(E11:U11)</f>
        <v>16841590.8716876</v>
      </c>
      <c r="W11" s="122" t="n">
        <f aca="false">+V11-N31</f>
        <v>0</v>
      </c>
    </row>
    <row r="12" s="122" customFormat="true" ht="18.75" hidden="false" customHeight="true" outlineLevel="0" collapsed="false">
      <c r="B12" s="137"/>
      <c r="C12" s="138" t="s">
        <v>31</v>
      </c>
      <c r="D12" s="138"/>
      <c r="E12" s="132" t="n">
        <f aca="false">④人件費!L15</f>
        <v>120000</v>
      </c>
      <c r="F12" s="132" t="n">
        <f aca="false">④人件費!M15</f>
        <v>120000</v>
      </c>
      <c r="G12" s="132" t="n">
        <f aca="false">④人件費!N15</f>
        <v>120000</v>
      </c>
      <c r="H12" s="132" t="n">
        <f aca="false">④人件費!O15</f>
        <v>1200000</v>
      </c>
      <c r="I12" s="132" t="n">
        <f aca="false">④人件費!P15</f>
        <v>1200000</v>
      </c>
      <c r="J12" s="132" t="n">
        <f aca="false">④人件費!Q15</f>
        <v>1200000</v>
      </c>
      <c r="K12" s="132" t="n">
        <f aca="false">④人件費!R15</f>
        <v>1560000</v>
      </c>
      <c r="L12" s="132" t="n">
        <f aca="false">④人件費!S15</f>
        <v>1560000</v>
      </c>
      <c r="M12" s="132" t="n">
        <f aca="false">④人件費!T15</f>
        <v>700000</v>
      </c>
      <c r="N12" s="132" t="n">
        <f aca="false">④人件費!U15</f>
        <v>732000</v>
      </c>
      <c r="O12" s="132" t="n">
        <f aca="false">④人件費!V15</f>
        <v>765600</v>
      </c>
      <c r="P12" s="132" t="n">
        <f aca="false">④人件費!W15</f>
        <v>800880</v>
      </c>
      <c r="Q12" s="132" t="n">
        <f aca="false">④人件費!X15</f>
        <v>837924</v>
      </c>
      <c r="R12" s="132" t="n">
        <f aca="false">④人件費!Y15</f>
        <v>876820.2</v>
      </c>
      <c r="S12" s="132" t="n">
        <f aca="false">④人件費!Z15</f>
        <v>917661.21</v>
      </c>
      <c r="T12" s="132" t="n">
        <f aca="false">④人件費!AA15</f>
        <v>960544.2705</v>
      </c>
      <c r="U12" s="132" t="n">
        <f aca="false">④人件費!AB15</f>
        <v>1005571.484025</v>
      </c>
      <c r="V12" s="132" t="n">
        <f aca="false">SUM(E12:U12)</f>
        <v>14677001.164525</v>
      </c>
      <c r="W12" s="122" t="n">
        <f aca="false">+V12-N32</f>
        <v>0</v>
      </c>
    </row>
    <row r="13" s="122" customFormat="true" ht="18.75" hidden="false" customHeight="true" outlineLevel="0" collapsed="false">
      <c r="B13" s="139"/>
      <c r="C13" s="140" t="s">
        <v>175</v>
      </c>
      <c r="D13" s="140"/>
      <c r="E13" s="132" t="n">
        <v>0</v>
      </c>
      <c r="F13" s="132" t="n">
        <f aca="false">$E$13</f>
        <v>0</v>
      </c>
      <c r="G13" s="132" t="n">
        <f aca="false">$E$13</f>
        <v>0</v>
      </c>
      <c r="H13" s="132" t="n">
        <f aca="false">$E$13</f>
        <v>0</v>
      </c>
      <c r="I13" s="132" t="n">
        <f aca="false">$E$13</f>
        <v>0</v>
      </c>
      <c r="J13" s="132" t="n">
        <f aca="false">$E$13</f>
        <v>0</v>
      </c>
      <c r="K13" s="132" t="n">
        <v>0</v>
      </c>
      <c r="L13" s="132" t="n">
        <f aca="false">K13*1.05</f>
        <v>0</v>
      </c>
      <c r="M13" s="132" t="n">
        <f aca="false">K13*1.1</f>
        <v>0</v>
      </c>
      <c r="N13" s="132" t="n">
        <f aca="false">K13*1.15</f>
        <v>0</v>
      </c>
      <c r="O13" s="132" t="n">
        <f aca="false">K13*1.2</f>
        <v>0</v>
      </c>
      <c r="P13" s="132" t="n">
        <f aca="false">K13*1.25</f>
        <v>0</v>
      </c>
      <c r="Q13" s="132" t="n">
        <f aca="false">K13*1.3</f>
        <v>0</v>
      </c>
      <c r="R13" s="132" t="n">
        <f aca="false">K13*1.35</f>
        <v>0</v>
      </c>
      <c r="S13" s="132" t="n">
        <f aca="false">K13*1.4</f>
        <v>0</v>
      </c>
      <c r="T13" s="132" t="n">
        <f aca="false">K13*1.45</f>
        <v>0</v>
      </c>
      <c r="U13" s="132" t="n">
        <f aca="false">K13*1.5</f>
        <v>0</v>
      </c>
      <c r="V13" s="132" t="n">
        <f aca="false">SUM(E13:U13)</f>
        <v>0</v>
      </c>
      <c r="W13" s="122" t="n">
        <f aca="false">+V13-N33</f>
        <v>0</v>
      </c>
    </row>
    <row r="14" s="122" customFormat="true" ht="18.75" hidden="false" customHeight="true" outlineLevel="0" collapsed="false">
      <c r="B14" s="137"/>
      <c r="C14" s="140" t="s">
        <v>176</v>
      </c>
      <c r="D14" s="140"/>
      <c r="E14" s="132" t="n">
        <v>0</v>
      </c>
      <c r="F14" s="132" t="n">
        <f aca="false">$E$14</f>
        <v>0</v>
      </c>
      <c r="G14" s="132" t="n">
        <f aca="false">$E$14</f>
        <v>0</v>
      </c>
      <c r="H14" s="132" t="n">
        <f aca="false">$E$14</f>
        <v>0</v>
      </c>
      <c r="I14" s="132" t="n">
        <f aca="false">$E$14</f>
        <v>0</v>
      </c>
      <c r="J14" s="132" t="n">
        <f aca="false">$E$14</f>
        <v>0</v>
      </c>
      <c r="K14" s="132" t="n">
        <v>8000</v>
      </c>
      <c r="L14" s="132" t="n">
        <f aca="false">$K$14</f>
        <v>8000</v>
      </c>
      <c r="M14" s="132" t="n">
        <f aca="false">$K$14</f>
        <v>8000</v>
      </c>
      <c r="N14" s="132" t="n">
        <f aca="false">$K$14</f>
        <v>8000</v>
      </c>
      <c r="O14" s="132" t="n">
        <f aca="false">$K$14</f>
        <v>8000</v>
      </c>
      <c r="P14" s="132" t="n">
        <f aca="false">$K$14</f>
        <v>8000</v>
      </c>
      <c r="Q14" s="132" t="n">
        <f aca="false">$K$14</f>
        <v>8000</v>
      </c>
      <c r="R14" s="132" t="n">
        <f aca="false">$K$14</f>
        <v>8000</v>
      </c>
      <c r="S14" s="132" t="n">
        <f aca="false">$K$14</f>
        <v>8000</v>
      </c>
      <c r="T14" s="132" t="n">
        <f aca="false">$K$14</f>
        <v>8000</v>
      </c>
      <c r="U14" s="132" t="n">
        <f aca="false">$K$14</f>
        <v>8000</v>
      </c>
      <c r="V14" s="132" t="n">
        <f aca="false">SUM(E14:U14)</f>
        <v>88000</v>
      </c>
      <c r="W14" s="122" t="n">
        <f aca="false">+V14-N34</f>
        <v>0</v>
      </c>
    </row>
    <row r="15" s="122" customFormat="true" ht="18.75" hidden="false" customHeight="true" outlineLevel="0" collapsed="false">
      <c r="B15" s="141"/>
      <c r="C15" s="140" t="s">
        <v>177</v>
      </c>
      <c r="D15" s="140"/>
      <c r="E15" s="132" t="n">
        <v>0</v>
      </c>
      <c r="F15" s="132" t="n">
        <f aca="false">$E$15</f>
        <v>0</v>
      </c>
      <c r="G15" s="132" t="n">
        <f aca="false">$E$15</f>
        <v>0</v>
      </c>
      <c r="H15" s="132" t="n">
        <f aca="false">$E$15</f>
        <v>0</v>
      </c>
      <c r="I15" s="132" t="n">
        <f aca="false">$E$15</f>
        <v>0</v>
      </c>
      <c r="J15" s="132" t="n">
        <f aca="false">$E$15</f>
        <v>0</v>
      </c>
      <c r="K15" s="132" t="n">
        <f aca="false">$E$15</f>
        <v>0</v>
      </c>
      <c r="L15" s="132" t="n">
        <f aca="false">$E$15</f>
        <v>0</v>
      </c>
      <c r="M15" s="132" t="n">
        <f aca="false">$E$15</f>
        <v>0</v>
      </c>
      <c r="N15" s="132" t="n">
        <f aca="false">$E$15</f>
        <v>0</v>
      </c>
      <c r="O15" s="132" t="n">
        <f aca="false">$E$15</f>
        <v>0</v>
      </c>
      <c r="P15" s="132" t="n">
        <f aca="false">$E$15</f>
        <v>0</v>
      </c>
      <c r="Q15" s="132" t="n">
        <f aca="false">$E$15</f>
        <v>0</v>
      </c>
      <c r="R15" s="132" t="n">
        <f aca="false">$E$15</f>
        <v>0</v>
      </c>
      <c r="S15" s="132" t="n">
        <f aca="false">$E$15</f>
        <v>0</v>
      </c>
      <c r="T15" s="132" t="n">
        <f aca="false">$E$15</f>
        <v>0</v>
      </c>
      <c r="U15" s="132" t="n">
        <f aca="false">$E$15</f>
        <v>0</v>
      </c>
      <c r="V15" s="132" t="n">
        <f aca="false">SUM(E15:U15)</f>
        <v>0</v>
      </c>
      <c r="W15" s="122" t="n">
        <f aca="false">+V15-N35</f>
        <v>0</v>
      </c>
    </row>
    <row r="16" s="122" customFormat="true" ht="18.75" hidden="false" customHeight="true" outlineLevel="0" collapsed="false">
      <c r="B16" s="139"/>
      <c r="C16" s="140" t="s">
        <v>178</v>
      </c>
      <c r="D16" s="140"/>
      <c r="E16" s="132" t="n">
        <f aca="false">E8*0.01</f>
        <v>1500</v>
      </c>
      <c r="F16" s="132" t="n">
        <f aca="false">F8*0.01</f>
        <v>1500</v>
      </c>
      <c r="G16" s="132" t="n">
        <f aca="false">G8*0.01</f>
        <v>1500</v>
      </c>
      <c r="H16" s="132" t="n">
        <f aca="false">H8*0.01</f>
        <v>9260</v>
      </c>
      <c r="I16" s="132" t="n">
        <f aca="false">I8*0.01</f>
        <v>9980</v>
      </c>
      <c r="J16" s="132" t="n">
        <f aca="false">J8*0.01</f>
        <v>10700</v>
      </c>
      <c r="K16" s="132" t="n">
        <f aca="false">K8*0.01</f>
        <v>15920</v>
      </c>
      <c r="L16" s="132" t="n">
        <f aca="false">L8*0.01</f>
        <v>16640</v>
      </c>
      <c r="M16" s="132" t="n">
        <f aca="false">M8*0.01</f>
        <v>9375</v>
      </c>
      <c r="N16" s="132" t="n">
        <f aca="false">N8*0.01</f>
        <v>9843.75</v>
      </c>
      <c r="O16" s="132" t="n">
        <f aca="false">O8*0.01</f>
        <v>10335.9375</v>
      </c>
      <c r="P16" s="132" t="n">
        <f aca="false">P8*0.01</f>
        <v>10852.734375</v>
      </c>
      <c r="Q16" s="132" t="n">
        <f aca="false">Q8*0.01</f>
        <v>11395.37109375</v>
      </c>
      <c r="R16" s="132" t="n">
        <f aca="false">R8*0.01</f>
        <v>11965.1396484375</v>
      </c>
      <c r="S16" s="132" t="n">
        <f aca="false">S8*0.01</f>
        <v>12563.3966308594</v>
      </c>
      <c r="T16" s="132" t="n">
        <f aca="false">T8*0.01</f>
        <v>13191.5664624023</v>
      </c>
      <c r="U16" s="132" t="n">
        <f aca="false">U8*0.01</f>
        <v>13851.1447855225</v>
      </c>
      <c r="V16" s="132" t="n">
        <f aca="false">V8*0.01</f>
        <v>170374.040495972</v>
      </c>
      <c r="W16" s="122" t="n">
        <f aca="false">+V16-N36</f>
        <v>0</v>
      </c>
    </row>
    <row r="17" s="122" customFormat="true" ht="18.75" hidden="false" customHeight="true" outlineLevel="0" collapsed="false">
      <c r="B17" s="139"/>
      <c r="C17" s="140" t="s">
        <v>179</v>
      </c>
      <c r="D17" s="140"/>
      <c r="E17" s="132" t="n">
        <v>10000</v>
      </c>
      <c r="F17" s="132" t="n">
        <f aca="false">$E$17</f>
        <v>10000</v>
      </c>
      <c r="G17" s="132" t="n">
        <f aca="false">$E$17</f>
        <v>10000</v>
      </c>
      <c r="H17" s="132" t="n">
        <f aca="false">$E$17</f>
        <v>10000</v>
      </c>
      <c r="I17" s="132" t="n">
        <f aca="false">$E$17</f>
        <v>10000</v>
      </c>
      <c r="J17" s="132" t="n">
        <f aca="false">$E$17</f>
        <v>10000</v>
      </c>
      <c r="K17" s="132" t="n">
        <f aca="false">$E$17</f>
        <v>10000</v>
      </c>
      <c r="L17" s="132" t="n">
        <f aca="false">$E$17</f>
        <v>10000</v>
      </c>
      <c r="M17" s="132" t="n">
        <f aca="false">$E$17</f>
        <v>10000</v>
      </c>
      <c r="N17" s="132" t="n">
        <f aca="false">$E$17</f>
        <v>10000</v>
      </c>
      <c r="O17" s="132" t="n">
        <f aca="false">$E$17</f>
        <v>10000</v>
      </c>
      <c r="P17" s="132" t="n">
        <f aca="false">$E$17</f>
        <v>10000</v>
      </c>
      <c r="Q17" s="132" t="n">
        <f aca="false">$E$17</f>
        <v>10000</v>
      </c>
      <c r="R17" s="132" t="n">
        <f aca="false">$E$17</f>
        <v>10000</v>
      </c>
      <c r="S17" s="132" t="n">
        <f aca="false">$E$17</f>
        <v>10000</v>
      </c>
      <c r="T17" s="132" t="n">
        <f aca="false">$E$17</f>
        <v>10000</v>
      </c>
      <c r="U17" s="132" t="n">
        <f aca="false">$E$17</f>
        <v>10000</v>
      </c>
      <c r="V17" s="132" t="n">
        <f aca="false">SUM(E17:U17)</f>
        <v>170000</v>
      </c>
      <c r="W17" s="122" t="n">
        <f aca="false">+V17-N37</f>
        <v>0</v>
      </c>
    </row>
    <row r="18" s="122" customFormat="true" ht="18.75" hidden="false" customHeight="true" outlineLevel="0" collapsed="false">
      <c r="B18" s="137"/>
      <c r="C18" s="140" t="s">
        <v>180</v>
      </c>
      <c r="D18" s="140"/>
      <c r="E18" s="132" t="n">
        <v>0</v>
      </c>
      <c r="F18" s="132" t="n">
        <f aca="false">$E$18</f>
        <v>0</v>
      </c>
      <c r="G18" s="132" t="n">
        <f aca="false">$E$18</f>
        <v>0</v>
      </c>
      <c r="H18" s="132" t="n">
        <f aca="false">$E$18</f>
        <v>0</v>
      </c>
      <c r="I18" s="132" t="n">
        <f aca="false">$E$18</f>
        <v>0</v>
      </c>
      <c r="J18" s="132" t="n">
        <f aca="false">$E$18</f>
        <v>0</v>
      </c>
      <c r="K18" s="132" t="n">
        <f aca="false">$E$18</f>
        <v>0</v>
      </c>
      <c r="L18" s="132" t="n">
        <f aca="false">$E$18</f>
        <v>0</v>
      </c>
      <c r="M18" s="132" t="n">
        <f aca="false">$E$18</f>
        <v>0</v>
      </c>
      <c r="N18" s="132" t="n">
        <v>100000</v>
      </c>
      <c r="O18" s="132" t="n">
        <f aca="false">$E$18</f>
        <v>0</v>
      </c>
      <c r="P18" s="132" t="n">
        <f aca="false">$E$18</f>
        <v>0</v>
      </c>
      <c r="Q18" s="132" t="n">
        <f aca="false">$E$18</f>
        <v>0</v>
      </c>
      <c r="R18" s="132" t="n">
        <f aca="false">$E$18</f>
        <v>0</v>
      </c>
      <c r="S18" s="132" t="n">
        <f aca="false">$E$18</f>
        <v>0</v>
      </c>
      <c r="T18" s="132" t="n">
        <f aca="false">$E$18</f>
        <v>0</v>
      </c>
      <c r="U18" s="132" t="n">
        <f aca="false">$E$18</f>
        <v>0</v>
      </c>
      <c r="V18" s="132" t="n">
        <f aca="false">SUM(E18:U18)</f>
        <v>100000</v>
      </c>
      <c r="W18" s="122" t="n">
        <f aca="false">+V18-N38</f>
        <v>0</v>
      </c>
    </row>
    <row r="19" s="122" customFormat="true" ht="18.75" hidden="false" customHeight="true" outlineLevel="0" collapsed="false">
      <c r="B19" s="142"/>
      <c r="C19" s="140" t="s">
        <v>181</v>
      </c>
      <c r="D19" s="140"/>
      <c r="E19" s="132" t="n">
        <v>5000</v>
      </c>
      <c r="F19" s="132" t="n">
        <v>5000</v>
      </c>
      <c r="G19" s="132" t="n">
        <f aca="false">($K$19-$E$19)/6+F19</f>
        <v>13333.3333333333</v>
      </c>
      <c r="H19" s="132" t="n">
        <f aca="false">($K$19-$E$19)/6+G19</f>
        <v>21666.6666666667</v>
      </c>
      <c r="I19" s="132" t="n">
        <f aca="false">($J$19-$E$19)/5+H19</f>
        <v>31666.6666666667</v>
      </c>
      <c r="J19" s="132" t="n">
        <v>55000</v>
      </c>
      <c r="K19" s="132" t="n">
        <v>55000</v>
      </c>
      <c r="L19" s="132" t="n">
        <f aca="false">$K$19</f>
        <v>55000</v>
      </c>
      <c r="M19" s="132" t="n">
        <f aca="false">$K$19</f>
        <v>55000</v>
      </c>
      <c r="N19" s="132" t="n">
        <f aca="false">$K$19</f>
        <v>55000</v>
      </c>
      <c r="O19" s="132" t="n">
        <f aca="false">$K$19</f>
        <v>55000</v>
      </c>
      <c r="P19" s="132" t="n">
        <f aca="false">$K$19</f>
        <v>55000</v>
      </c>
      <c r="Q19" s="132" t="n">
        <f aca="false">$K$19</f>
        <v>55000</v>
      </c>
      <c r="R19" s="132" t="n">
        <f aca="false">$K$19</f>
        <v>55000</v>
      </c>
      <c r="S19" s="132" t="n">
        <f aca="false">$K$19</f>
        <v>55000</v>
      </c>
      <c r="T19" s="132" t="n">
        <f aca="false">$K$19</f>
        <v>55000</v>
      </c>
      <c r="U19" s="132" t="n">
        <f aca="false">$K$19</f>
        <v>55000</v>
      </c>
      <c r="V19" s="132" t="n">
        <f aca="false">SUM(E19:U19)</f>
        <v>736666.666666667</v>
      </c>
      <c r="W19" s="122" t="n">
        <f aca="false">+V19-N39</f>
        <v>0</v>
      </c>
    </row>
    <row r="20" s="122" customFormat="true" ht="18.75" hidden="false" customHeight="true" outlineLevel="0" collapsed="false">
      <c r="B20" s="139"/>
      <c r="C20" s="140" t="s">
        <v>145</v>
      </c>
      <c r="D20" s="140"/>
      <c r="E20" s="132" t="n">
        <v>50000</v>
      </c>
      <c r="F20" s="132" t="n">
        <v>50000</v>
      </c>
      <c r="G20" s="132" t="n">
        <v>50000</v>
      </c>
      <c r="H20" s="132" t="n">
        <v>50000</v>
      </c>
      <c r="I20" s="132" t="n">
        <v>50000</v>
      </c>
      <c r="J20" s="132" t="n">
        <v>50000</v>
      </c>
      <c r="K20" s="132" t="n">
        <v>50000</v>
      </c>
      <c r="L20" s="132" t="n">
        <v>50000</v>
      </c>
      <c r="M20" s="132" t="n">
        <v>50000</v>
      </c>
      <c r="N20" s="132" t="n">
        <v>50000</v>
      </c>
      <c r="O20" s="132" t="n">
        <v>50000</v>
      </c>
      <c r="P20" s="132" t="n">
        <v>50000</v>
      </c>
      <c r="Q20" s="132" t="n">
        <v>50000</v>
      </c>
      <c r="R20" s="132" t="n">
        <v>50000</v>
      </c>
      <c r="S20" s="132" t="n">
        <v>50000</v>
      </c>
      <c r="T20" s="132" t="n">
        <v>50000</v>
      </c>
      <c r="U20" s="132" t="n">
        <v>50000</v>
      </c>
      <c r="V20" s="132" t="n">
        <f aca="false">SUM(E20:U20)</f>
        <v>850000</v>
      </c>
      <c r="W20" s="122" t="n">
        <f aca="false">+V20-N40</f>
        <v>0</v>
      </c>
    </row>
    <row r="21" s="122" customFormat="true" ht="18.75" hidden="false" customHeight="true" outlineLevel="0" collapsed="false">
      <c r="B21" s="143"/>
      <c r="C21" s="138" t="s">
        <v>182</v>
      </c>
      <c r="D21" s="138"/>
      <c r="E21" s="132" t="n">
        <f aca="false">+IF(E7="1期目",⑥設備一覧表!$H$16,⑥設備一覧表!$K$16)</f>
        <v>3333</v>
      </c>
      <c r="F21" s="132" t="n">
        <f aca="false">+IF(F7="1期目",⑥設備一覧表!$H$16,⑥設備一覧表!$K$16)</f>
        <v>3333</v>
      </c>
      <c r="G21" s="132" t="n">
        <f aca="false">+IF(G7="1期目",⑥設備一覧表!$H$16,⑥設備一覧表!$K$16)</f>
        <v>3333</v>
      </c>
      <c r="H21" s="132" t="n">
        <f aca="false">+IF(H7="1期目",⑥設備一覧表!$H$16,⑥設備一覧表!$K$16)</f>
        <v>3333</v>
      </c>
      <c r="I21" s="132" t="n">
        <f aca="false">+IF(I7="1期目",⑥設備一覧表!$H$16,⑥設備一覧表!$K$16)</f>
        <v>3333</v>
      </c>
      <c r="J21" s="132" t="n">
        <f aca="false">+IF(J7="1期目",⑥設備一覧表!$H$16,⑥設備一覧表!$K$16)</f>
        <v>3333</v>
      </c>
      <c r="K21" s="132" t="n">
        <f aca="false">+IF(K7="1期目",⑥設備一覧表!$H$16,⑥設備一覧表!$K$16)</f>
        <v>3333</v>
      </c>
      <c r="L21" s="132" t="n">
        <f aca="false">+IF(L7="1期目",⑥設備一覧表!$H$16,⑥設備一覧表!$K$16)</f>
        <v>3333</v>
      </c>
      <c r="M21" s="132" t="n">
        <f aca="false">+IF(M7="1期目",⑥設備一覧表!$H$16,⑥設備一覧表!$K$16)</f>
        <v>3333</v>
      </c>
      <c r="N21" s="132" t="n">
        <f aca="false">+IF(N7="1期目",⑥設備一覧表!$H$16,⑥設備一覧表!$K$16)</f>
        <v>2444</v>
      </c>
      <c r="O21" s="132" t="n">
        <f aca="false">+IF(O7="1期目",⑥設備一覧表!$H$16,⑥設備一覧表!$K$16)</f>
        <v>2444</v>
      </c>
      <c r="P21" s="132" t="n">
        <f aca="false">+IF(P7="1期目",⑥設備一覧表!$H$16,⑥設備一覧表!$K$16)</f>
        <v>2444</v>
      </c>
      <c r="Q21" s="132" t="n">
        <f aca="false">+IF(Q7="1期目",⑥設備一覧表!$H$16,⑥設備一覧表!$K$16)</f>
        <v>2444</v>
      </c>
      <c r="R21" s="132" t="n">
        <f aca="false">+IF(R7="1期目",⑥設備一覧表!$H$16,⑥設備一覧表!$K$16)</f>
        <v>2444</v>
      </c>
      <c r="S21" s="132" t="n">
        <f aca="false">+IF(S7="1期目",⑥設備一覧表!$H$16,⑥設備一覧表!$K$16)</f>
        <v>2444</v>
      </c>
      <c r="T21" s="132" t="n">
        <f aca="false">+IF(T7="1期目",⑥設備一覧表!$H$16,⑥設備一覧表!$K$16)</f>
        <v>2444</v>
      </c>
      <c r="U21" s="132" t="n">
        <f aca="false">+IF(U7="1期目",⑥設備一覧表!$H$16,⑥設備一覧表!$K$16)</f>
        <v>2444</v>
      </c>
      <c r="V21" s="132" t="n">
        <f aca="false">SUM(E21:U21)</f>
        <v>49549</v>
      </c>
      <c r="W21" s="122" t="n">
        <f aca="false">+V21-N41</f>
        <v>0</v>
      </c>
    </row>
    <row r="22" customFormat="false" ht="22.5" hidden="false" customHeight="true" outlineLevel="0" collapsed="false">
      <c r="B22" s="134" t="s">
        <v>183</v>
      </c>
      <c r="C22" s="134"/>
      <c r="D22" s="134"/>
      <c r="E22" s="144" t="n">
        <f aca="false">+E10-E11</f>
        <v>-39833</v>
      </c>
      <c r="F22" s="144" t="n">
        <f aca="false">+F10-F11</f>
        <v>-39833</v>
      </c>
      <c r="G22" s="144" t="n">
        <f aca="false">+G10-G11</f>
        <v>-48166.3333333333</v>
      </c>
      <c r="H22" s="144" t="n">
        <f aca="false">+H10-H11</f>
        <v>-368259.666666667</v>
      </c>
      <c r="I22" s="144" t="n">
        <f aca="false">+I10-I11</f>
        <v>-306979.666666667</v>
      </c>
      <c r="J22" s="144" t="n">
        <f aca="false">+J10-J11</f>
        <v>-259033</v>
      </c>
      <c r="K22" s="144" t="n">
        <f aca="false">+K10-K11</f>
        <v>-110253</v>
      </c>
      <c r="L22" s="144" t="n">
        <f aca="false">+L10-L11</f>
        <v>-38973</v>
      </c>
      <c r="M22" s="144" t="n">
        <f aca="false">+M10-M11</f>
        <v>101792</v>
      </c>
      <c r="N22" s="144" t="n">
        <f aca="false">+N10-N11</f>
        <v>17087.25</v>
      </c>
      <c r="O22" s="144" t="n">
        <f aca="false">+O10-O11</f>
        <v>132213.8125</v>
      </c>
      <c r="P22" s="144" t="n">
        <f aca="false">+P10-P11</f>
        <v>148096.703125</v>
      </c>
      <c r="Q22" s="144" t="n">
        <f aca="false">+Q10-Q11</f>
        <v>164773.73828125</v>
      </c>
      <c r="R22" s="144" t="n">
        <f aca="false">+R10-R11</f>
        <v>182284.625195313</v>
      </c>
      <c r="S22" s="144" t="n">
        <f aca="false">+S10-S11</f>
        <v>200671.056455078</v>
      </c>
      <c r="T22" s="144" t="n">
        <f aca="false">+T10-T11</f>
        <v>219976.809277832</v>
      </c>
      <c r="U22" s="144" t="n">
        <f aca="false">+U10-U11</f>
        <v>240247.849741724</v>
      </c>
      <c r="V22" s="144" t="n">
        <f aca="false">SUM(E22:U22)</f>
        <v>195813.177909529</v>
      </c>
      <c r="W22" s="60" t="n">
        <f aca="false">+V22-N42</f>
        <v>2.3283064365387E-009</v>
      </c>
    </row>
    <row r="23" s="122" customFormat="true" ht="18.75" hidden="false" customHeight="true" outlineLevel="0" collapsed="false">
      <c r="E23" s="145"/>
      <c r="F23" s="145"/>
      <c r="G23" s="145"/>
      <c r="H23" s="145"/>
      <c r="I23" s="145"/>
      <c r="J23" s="145"/>
    </row>
    <row r="24" s="122" customFormat="true" ht="18.75" hidden="false" customHeight="true" outlineLevel="0" collapsed="false">
      <c r="E24" s="145"/>
      <c r="F24" s="145"/>
      <c r="G24" s="145"/>
      <c r="H24" s="145"/>
      <c r="I24" s="145"/>
      <c r="J24" s="145"/>
    </row>
    <row r="25" s="122" customFormat="true" ht="18.75" hidden="false" customHeight="true" outlineLevel="0" collapsed="false">
      <c r="E25" s="145"/>
      <c r="F25" s="145"/>
      <c r="G25" s="145"/>
      <c r="H25" s="145"/>
      <c r="I25" s="145"/>
      <c r="J25" s="145"/>
    </row>
    <row r="26" s="122" customFormat="true" ht="18.75" hidden="false" customHeight="true" outlineLevel="0" collapsed="false">
      <c r="E26" s="145"/>
      <c r="F26" s="145"/>
      <c r="G26" s="145"/>
      <c r="H26" s="145"/>
      <c r="I26" s="145"/>
      <c r="J26" s="145"/>
      <c r="L26" s="122" t="s">
        <v>184</v>
      </c>
    </row>
    <row r="27" s="122" customFormat="true" ht="18.75" hidden="false" customHeight="true" outlineLevel="0" collapsed="false">
      <c r="B27" s="61" t="s">
        <v>185</v>
      </c>
      <c r="E27" s="145"/>
      <c r="F27" s="145"/>
      <c r="G27" s="145"/>
      <c r="H27" s="145"/>
      <c r="L27" s="146" t="s">
        <v>186</v>
      </c>
      <c r="M27" s="127" t="s">
        <v>187</v>
      </c>
      <c r="N27" s="127" t="s">
        <v>120</v>
      </c>
    </row>
    <row r="28" s="122" customFormat="true" ht="18.75" hidden="false" customHeight="true" outlineLevel="0" collapsed="false">
      <c r="B28" s="61"/>
      <c r="E28" s="147" t="s">
        <v>188</v>
      </c>
      <c r="F28" s="147" t="s">
        <v>189</v>
      </c>
      <c r="G28" s="145"/>
      <c r="H28" s="145"/>
      <c r="I28" s="131" t="s">
        <v>172</v>
      </c>
      <c r="J28" s="131"/>
      <c r="K28" s="131"/>
      <c r="L28" s="132" t="n">
        <f aca="false">+SUMIF($7:$7,"1期目",8:8)</f>
        <v>7637500</v>
      </c>
      <c r="M28" s="132" t="n">
        <f aca="false">+SUMIF($7:$7,"2期目",8:8)</f>
        <v>9399904.04959717</v>
      </c>
      <c r="N28" s="132" t="n">
        <f aca="false">SUM(L28:M28)</f>
        <v>17037404.0495972</v>
      </c>
    </row>
    <row r="29" s="122" customFormat="true" ht="18.75" hidden="false" customHeight="true" outlineLevel="0" collapsed="false">
      <c r="B29" s="131" t="s">
        <v>172</v>
      </c>
      <c r="C29" s="131"/>
      <c r="D29" s="131"/>
      <c r="E29" s="132" t="n">
        <f aca="false">SUM(E8:J8)/6</f>
        <v>574000</v>
      </c>
      <c r="F29" s="132" t="n">
        <f aca="false">SUM(K8:U8)/11</f>
        <v>1235764.00450883</v>
      </c>
      <c r="G29" s="145"/>
      <c r="H29" s="145"/>
      <c r="I29" s="133"/>
      <c r="J29" s="133"/>
      <c r="K29" s="133"/>
      <c r="L29" s="132"/>
      <c r="M29" s="132"/>
      <c r="N29" s="132"/>
    </row>
    <row r="30" s="122" customFormat="true" ht="18.75" hidden="false" customHeight="true" outlineLevel="0" collapsed="false">
      <c r="B30" s="131"/>
      <c r="C30" s="131"/>
      <c r="D30" s="131"/>
      <c r="E30" s="132"/>
      <c r="F30" s="132"/>
      <c r="G30" s="145"/>
      <c r="H30" s="145"/>
      <c r="I30" s="148" t="s">
        <v>173</v>
      </c>
      <c r="J30" s="148"/>
      <c r="K30" s="148"/>
      <c r="L30" s="149" t="n">
        <f aca="false">+L28-L29</f>
        <v>7637500</v>
      </c>
      <c r="M30" s="149" t="n">
        <f aca="false">+M28-M29</f>
        <v>9399904.04959717</v>
      </c>
      <c r="N30" s="149" t="n">
        <f aca="false">+N28-N29</f>
        <v>17037404.0495972</v>
      </c>
    </row>
    <row r="31" s="122" customFormat="true" ht="18.75" hidden="false" customHeight="true" outlineLevel="0" collapsed="false">
      <c r="B31" s="150" t="s">
        <v>190</v>
      </c>
      <c r="C31" s="138" t="s">
        <v>31</v>
      </c>
      <c r="D31" s="138"/>
      <c r="E31" s="132" t="n">
        <f aca="false">SUM(E12:J12)/6</f>
        <v>660000</v>
      </c>
      <c r="F31" s="132" t="n">
        <f aca="false">SUM(K12:U12)/11</f>
        <v>974272.833138637</v>
      </c>
      <c r="G31" s="145"/>
      <c r="H31" s="145"/>
      <c r="I31" s="136" t="s">
        <v>174</v>
      </c>
      <c r="J31" s="136"/>
      <c r="K31" s="136"/>
      <c r="L31" s="132" t="n">
        <f aca="false">SUM(L32:L41)</f>
        <v>8747038.66666667</v>
      </c>
      <c r="M31" s="132" t="n">
        <f aca="false">SUM(M32:M41)</f>
        <v>8094552.20502097</v>
      </c>
      <c r="N31" s="132" t="n">
        <f aca="false">SUM(N32:N41)</f>
        <v>16841590.8716876</v>
      </c>
    </row>
    <row r="32" customFormat="false" ht="18.75" hidden="false" customHeight="true" outlineLevel="0" collapsed="false">
      <c r="B32" s="150"/>
      <c r="C32" s="138" t="s">
        <v>145</v>
      </c>
      <c r="D32" s="138"/>
      <c r="E32" s="132" t="n">
        <f aca="false">SUM(E13:J21)/6</f>
        <v>91017.4444444445</v>
      </c>
      <c r="F32" s="132" t="n">
        <f aca="false">SUM(K13:U21)/11</f>
        <v>147135.003681452</v>
      </c>
      <c r="G32" s="0"/>
      <c r="H32" s="0"/>
      <c r="I32" s="137"/>
      <c r="J32" s="138" t="s">
        <v>31</v>
      </c>
      <c r="K32" s="138"/>
      <c r="L32" s="132" t="n">
        <f aca="false">+SUMIF($7:$7,"1期目",12:12)</f>
        <v>7780000</v>
      </c>
      <c r="M32" s="132" t="n">
        <f aca="false">+SUMIF($7:$7,"2期目",12:12)</f>
        <v>6897001.164525</v>
      </c>
      <c r="N32" s="132" t="n">
        <f aca="false">SUM(L32:M32)</f>
        <v>14677001.164525</v>
      </c>
    </row>
    <row r="33" customFormat="false" ht="18.75" hidden="false" customHeight="true" outlineLevel="0" collapsed="false">
      <c r="B33" s="150"/>
      <c r="C33" s="138"/>
      <c r="D33" s="138"/>
      <c r="E33" s="132"/>
      <c r="F33" s="132"/>
      <c r="G33" s="0"/>
      <c r="H33" s="0"/>
      <c r="I33" s="139"/>
      <c r="J33" s="138" t="s">
        <v>175</v>
      </c>
      <c r="K33" s="138"/>
      <c r="L33" s="132" t="n">
        <f aca="false">+SUMIF($7:$7,"1期目",13:13)</f>
        <v>0</v>
      </c>
      <c r="M33" s="132" t="n">
        <f aca="false">+SUMIF($7:$7,"2期目",13:13)</f>
        <v>0</v>
      </c>
      <c r="N33" s="132" t="n">
        <f aca="false">SUM(L33:M33)</f>
        <v>0</v>
      </c>
    </row>
    <row r="34" customFormat="false" ht="18.75" hidden="false" customHeight="true" outlineLevel="0" collapsed="false">
      <c r="B34" s="150"/>
      <c r="C34" s="138"/>
      <c r="D34" s="138"/>
      <c r="E34" s="132"/>
      <c r="F34" s="132"/>
      <c r="G34" s="0"/>
      <c r="H34" s="0"/>
      <c r="I34" s="137"/>
      <c r="J34" s="138" t="s">
        <v>176</v>
      </c>
      <c r="K34" s="138"/>
      <c r="L34" s="132" t="n">
        <f aca="false">+SUMIF($7:$7,"1期目",14:14)</f>
        <v>24000</v>
      </c>
      <c r="M34" s="132" t="n">
        <f aca="false">+SUMIF($7:$7,"2期目",14:14)</f>
        <v>64000</v>
      </c>
      <c r="N34" s="132" t="n">
        <f aca="false">SUM(L34:M34)</f>
        <v>88000</v>
      </c>
    </row>
    <row r="35" customFormat="false" ht="18.75" hidden="false" customHeight="true" outlineLevel="0" collapsed="false">
      <c r="B35" s="150"/>
      <c r="C35" s="138" t="s">
        <v>120</v>
      </c>
      <c r="D35" s="138"/>
      <c r="E35" s="132" t="n">
        <f aca="false">SUM(E31:E34)</f>
        <v>751017.444444445</v>
      </c>
      <c r="F35" s="132" t="n">
        <f aca="false">SUM(F31:F34)</f>
        <v>1121407.83682009</v>
      </c>
      <c r="G35" s="0"/>
      <c r="H35" s="0"/>
      <c r="I35" s="141"/>
      <c r="J35" s="138" t="s">
        <v>177</v>
      </c>
      <c r="K35" s="138"/>
      <c r="L35" s="132" t="n">
        <f aca="false">+SUMIF($7:$7,"1期目",15:15)</f>
        <v>0</v>
      </c>
      <c r="M35" s="132" t="n">
        <f aca="false">+SUMIF($7:$7,"2期目",15:15)</f>
        <v>0</v>
      </c>
      <c r="N35" s="132" t="n">
        <f aca="false">SUM(L35:M35)</f>
        <v>0</v>
      </c>
    </row>
    <row r="36" customFormat="false" ht="18.75" hidden="false" customHeight="true" outlineLevel="0" collapsed="false">
      <c r="B36" s="151" t="s">
        <v>191</v>
      </c>
      <c r="C36" s="151"/>
      <c r="D36" s="151"/>
      <c r="E36" s="149" t="n">
        <f aca="false">SUM(E22:J22)/6</f>
        <v>-177017.444444445</v>
      </c>
      <c r="F36" s="149" t="n">
        <f aca="false">SUM(K22:U22)/11</f>
        <v>114356.167688745</v>
      </c>
      <c r="G36" s="0"/>
      <c r="H36" s="0"/>
      <c r="I36" s="139"/>
      <c r="J36" s="138" t="s">
        <v>178</v>
      </c>
      <c r="K36" s="138"/>
      <c r="L36" s="132" t="n">
        <f aca="false">+SUMIF($7:$7,"1期目",16:16)</f>
        <v>76375</v>
      </c>
      <c r="M36" s="132" t="n">
        <f aca="false">+SUMIF($7:$7,"2期目",16:16)</f>
        <v>93999.0404959717</v>
      </c>
      <c r="N36" s="132" t="n">
        <f aca="false">SUM(L36:M36)</f>
        <v>170374.040495972</v>
      </c>
    </row>
    <row r="37" customFormat="false" ht="18.75" hidden="false" customHeight="true" outlineLevel="0" collapsed="false">
      <c r="E37" s="0"/>
      <c r="F37" s="0"/>
      <c r="G37" s="0"/>
      <c r="H37" s="0"/>
      <c r="I37" s="139"/>
      <c r="J37" s="138" t="s">
        <v>179</v>
      </c>
      <c r="K37" s="138"/>
      <c r="L37" s="132" t="n">
        <f aca="false">+SUMIF($7:$7,"1期目",17:17)</f>
        <v>90000</v>
      </c>
      <c r="M37" s="132" t="n">
        <f aca="false">+SUMIF($7:$7,"2期目",17:17)</f>
        <v>80000</v>
      </c>
      <c r="N37" s="132" t="n">
        <f aca="false">SUM(L37:M37)</f>
        <v>170000</v>
      </c>
    </row>
    <row r="38" customFormat="false" ht="18.75" hidden="false" customHeight="true" outlineLevel="0" collapsed="false">
      <c r="E38" s="0"/>
      <c r="F38" s="0"/>
      <c r="G38" s="0"/>
      <c r="H38" s="0"/>
      <c r="I38" s="137"/>
      <c r="J38" s="138" t="s">
        <v>180</v>
      </c>
      <c r="K38" s="138"/>
      <c r="L38" s="132" t="n">
        <f aca="false">+SUMIF($7:$7,"1期目",18:18)</f>
        <v>0</v>
      </c>
      <c r="M38" s="132" t="n">
        <f aca="false">+SUMIF($7:$7,"2期目",18:18)</f>
        <v>100000</v>
      </c>
      <c r="N38" s="132" t="n">
        <f aca="false">SUM(L38:M38)</f>
        <v>100000</v>
      </c>
    </row>
    <row r="39" customFormat="false" ht="18.75" hidden="false" customHeight="true" outlineLevel="0" collapsed="false">
      <c r="E39" s="0"/>
      <c r="F39" s="0"/>
      <c r="G39" s="0"/>
      <c r="H39" s="0"/>
      <c r="I39" s="142"/>
      <c r="J39" s="138" t="s">
        <v>181</v>
      </c>
      <c r="K39" s="138"/>
      <c r="L39" s="132" t="n">
        <f aca="false">+SUMIF($7:$7,"1期目",19:19)</f>
        <v>296666.666666667</v>
      </c>
      <c r="M39" s="132" t="n">
        <f aca="false">+SUMIF($7:$7,"2期目",19:19)</f>
        <v>440000</v>
      </c>
      <c r="N39" s="132" t="n">
        <f aca="false">SUM(L39:M39)</f>
        <v>736666.666666667</v>
      </c>
    </row>
    <row r="40" customFormat="false" ht="18.75" hidden="false" customHeight="true" outlineLevel="0" collapsed="false">
      <c r="E40" s="0"/>
      <c r="F40" s="0"/>
      <c r="G40" s="0"/>
      <c r="H40" s="0"/>
      <c r="I40" s="139"/>
      <c r="J40" s="138" t="s">
        <v>145</v>
      </c>
      <c r="K40" s="138"/>
      <c r="L40" s="132" t="n">
        <f aca="false">+SUMIF($7:$7,"1期目",20:20)</f>
        <v>450000</v>
      </c>
      <c r="M40" s="132" t="n">
        <f aca="false">+SUMIF($7:$7,"2期目",20:20)</f>
        <v>400000</v>
      </c>
      <c r="N40" s="132" t="n">
        <f aca="false">SUM(L40:M40)</f>
        <v>850000</v>
      </c>
    </row>
    <row r="41" customFormat="false" ht="18.75" hidden="false" customHeight="true" outlineLevel="0" collapsed="false">
      <c r="E41" s="0"/>
      <c r="F41" s="0"/>
      <c r="G41" s="0"/>
      <c r="H41" s="0"/>
      <c r="I41" s="143"/>
      <c r="J41" s="138" t="s">
        <v>182</v>
      </c>
      <c r="K41" s="138"/>
      <c r="L41" s="132" t="n">
        <f aca="false">+SUMIF($7:$7,"1期目",21:21)</f>
        <v>29997</v>
      </c>
      <c r="M41" s="132" t="n">
        <f aca="false">+SUMIF($7:$7,"2期目",21:21)</f>
        <v>19552</v>
      </c>
      <c r="N41" s="132" t="n">
        <f aca="false">SUM(L41:M41)</f>
        <v>49549</v>
      </c>
    </row>
    <row r="42" customFormat="false" ht="18.75" hidden="false" customHeight="true" outlineLevel="0" collapsed="false">
      <c r="E42" s="0"/>
      <c r="F42" s="0"/>
      <c r="G42" s="0"/>
      <c r="H42" s="0"/>
      <c r="I42" s="148" t="s">
        <v>183</v>
      </c>
      <c r="J42" s="148"/>
      <c r="K42" s="148"/>
      <c r="L42" s="149" t="n">
        <f aca="false">+L30-L31</f>
        <v>-1109538.66666667</v>
      </c>
      <c r="M42" s="149" t="n">
        <f aca="false">+M30-M31</f>
        <v>1305351.8445762</v>
      </c>
      <c r="N42" s="149" t="n">
        <f aca="false">+N30-N31</f>
        <v>195813.177909527</v>
      </c>
    </row>
    <row r="43" customFormat="false" ht="18.75" hidden="false" customHeight="true" outlineLevel="0" collapsed="false">
      <c r="E43" s="0"/>
      <c r="F43" s="0"/>
      <c r="G43" s="0"/>
      <c r="H43" s="0"/>
      <c r="I43" s="0"/>
      <c r="J43" s="0"/>
    </row>
    <row r="44" customFormat="false" ht="18.75" hidden="false" customHeight="true" outlineLevel="0" collapsed="false">
      <c r="E44" s="0"/>
      <c r="F44" s="0"/>
      <c r="G44" s="0"/>
      <c r="H44" s="0"/>
      <c r="I44" s="0"/>
      <c r="J44" s="0"/>
    </row>
    <row r="45" customFormat="false" ht="18.75" hidden="false" customHeight="true" outlineLevel="0" collapsed="false">
      <c r="E45" s="0"/>
      <c r="F45" s="0"/>
      <c r="G45" s="0"/>
      <c r="H45" s="0"/>
      <c r="I45" s="0"/>
      <c r="J45" s="0"/>
    </row>
    <row r="46" customFormat="false" ht="18.75" hidden="false" customHeight="true" outlineLevel="0" collapsed="false">
      <c r="E46" s="0"/>
      <c r="F46" s="0"/>
      <c r="G46" s="0"/>
      <c r="H46" s="0"/>
      <c r="I46" s="0"/>
      <c r="J46" s="0"/>
    </row>
  </sheetData>
  <mergeCells count="39">
    <mergeCell ref="B8:D8"/>
    <mergeCell ref="B9:D9"/>
    <mergeCell ref="B10:D10"/>
    <mergeCell ref="B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22:D22"/>
    <mergeCell ref="I28:K28"/>
    <mergeCell ref="B29:D29"/>
    <mergeCell ref="I29:K29"/>
    <mergeCell ref="B30:D30"/>
    <mergeCell ref="I30:K30"/>
    <mergeCell ref="B31:B35"/>
    <mergeCell ref="C31:D31"/>
    <mergeCell ref="I31:K31"/>
    <mergeCell ref="C32:D32"/>
    <mergeCell ref="J32:K32"/>
    <mergeCell ref="C33:D33"/>
    <mergeCell ref="J33:K33"/>
    <mergeCell ref="C34:D34"/>
    <mergeCell ref="J34:K34"/>
    <mergeCell ref="C35:D35"/>
    <mergeCell ref="J35:K35"/>
    <mergeCell ref="B36:D36"/>
    <mergeCell ref="J36:K36"/>
    <mergeCell ref="J37:K37"/>
    <mergeCell ref="J38:K38"/>
    <mergeCell ref="J39:K39"/>
    <mergeCell ref="J40:K40"/>
    <mergeCell ref="J41:K41"/>
    <mergeCell ref="I42:K42"/>
  </mergeCells>
  <conditionalFormatting sqref="E15">
    <cfRule type="expression" priority="2" aboveAverage="0" equalAverage="0" bottom="0" percent="0" rank="0" text="" dxfId="9">
      <formula>$E$15=""</formula>
    </cfRule>
  </conditionalFormatting>
  <conditionalFormatting sqref="E13">
    <cfRule type="expression" priority="3" aboveAverage="0" equalAverage="0" bottom="0" percent="0" rank="0" text="" dxfId="10">
      <formula>$E$13=""</formula>
    </cfRule>
  </conditionalFormatting>
  <conditionalFormatting sqref="E14">
    <cfRule type="expression" priority="4" aboveAverage="0" equalAverage="0" bottom="0" percent="0" rank="0" text="" dxfId="11">
      <formula>$E$14=""</formula>
    </cfRule>
  </conditionalFormatting>
  <conditionalFormatting sqref="E17:E18">
    <cfRule type="expression" priority="5" aboveAverage="0" equalAverage="0" bottom="0" percent="0" rank="0" text="" dxfId="12">
      <formula>$E17=""</formula>
    </cfRule>
  </conditionalFormatting>
  <conditionalFormatting sqref="K19">
    <cfRule type="expression" priority="6" aboveAverage="0" equalAverage="0" bottom="0" percent="0" rank="0" text="" dxfId="13">
      <formula>$K$19=""</formula>
    </cfRule>
  </conditionalFormatting>
  <conditionalFormatting sqref="E19:E20 F20:U20">
    <cfRule type="expression" priority="7" aboveAverage="0" equalAverage="0" bottom="0" percent="0" rank="0" text="" dxfId="14">
      <formula>$E$19=""</formula>
    </cfRule>
  </conditionalFormatting>
  <conditionalFormatting sqref="E21:P21">
    <cfRule type="expression" priority="8" aboveAverage="0" equalAverage="0" bottom="0" percent="0" rank="0" text="" dxfId="15">
      <formula>$E$21=""</formula>
    </cfRule>
  </conditionalFormatting>
  <conditionalFormatting sqref="F21">
    <cfRule type="expression" priority="9" aboveAverage="0" equalAverage="0" bottom="0" percent="0" rank="0" text="" dxfId="16">
      <formula>$E$21=""</formula>
    </cfRule>
  </conditionalFormatting>
  <conditionalFormatting sqref="G21">
    <cfRule type="expression" priority="10" aboveAverage="0" equalAverage="0" bottom="0" percent="0" rank="0" text="" dxfId="17">
      <formula>$E$21=""</formula>
    </cfRule>
  </conditionalFormatting>
  <conditionalFormatting sqref="H21">
    <cfRule type="expression" priority="11" aboveAverage="0" equalAverage="0" bottom="0" percent="0" rank="0" text="" dxfId="18">
      <formula>$E$21=""</formula>
    </cfRule>
  </conditionalFormatting>
  <conditionalFormatting sqref="I21">
    <cfRule type="expression" priority="12" aboveAverage="0" equalAverage="0" bottom="0" percent="0" rank="0" text="" dxfId="19">
      <formula>$E$21=""</formula>
    </cfRule>
  </conditionalFormatting>
  <conditionalFormatting sqref="J21">
    <cfRule type="expression" priority="13" aboveAverage="0" equalAverage="0" bottom="0" percent="0" rank="0" text="" dxfId="20">
      <formula>$E$21=""</formula>
    </cfRule>
  </conditionalFormatting>
  <conditionalFormatting sqref="K21">
    <cfRule type="expression" priority="14" aboveAverage="0" equalAverage="0" bottom="0" percent="0" rank="0" text="" dxfId="21">
      <formula>$E$21=""</formula>
    </cfRule>
  </conditionalFormatting>
  <conditionalFormatting sqref="L21">
    <cfRule type="expression" priority="15" aboveAverage="0" equalAverage="0" bottom="0" percent="0" rank="0" text="" dxfId="22">
      <formula>$E$21=""</formula>
    </cfRule>
  </conditionalFormatting>
  <conditionalFormatting sqref="M21">
    <cfRule type="expression" priority="16" aboveAverage="0" equalAverage="0" bottom="0" percent="0" rank="0" text="" dxfId="23">
      <formula>$E$21=""</formula>
    </cfRule>
  </conditionalFormatting>
  <conditionalFormatting sqref="N21">
    <cfRule type="expression" priority="17" aboveAverage="0" equalAverage="0" bottom="0" percent="0" rank="0" text="" dxfId="24">
      <formula>$E$21=""</formula>
    </cfRule>
  </conditionalFormatting>
  <conditionalFormatting sqref="O21">
    <cfRule type="expression" priority="18" aboveAverage="0" equalAverage="0" bottom="0" percent="0" rank="0" text="" dxfId="25">
      <formula>$E$21=""</formula>
    </cfRule>
  </conditionalFormatting>
  <conditionalFormatting sqref="P21">
    <cfRule type="expression" priority="19" aboveAverage="0" equalAverage="0" bottom="0" percent="0" rank="0" text="" dxfId="26">
      <formula>$E$21=""</formula>
    </cfRule>
  </conditionalFormatting>
  <conditionalFormatting sqref="Q21">
    <cfRule type="expression" priority="20" aboveAverage="0" equalAverage="0" bottom="0" percent="0" rank="0" text="" dxfId="27">
      <formula>$E$21=""</formula>
    </cfRule>
  </conditionalFormatting>
  <conditionalFormatting sqref="R21">
    <cfRule type="expression" priority="21" aboveAverage="0" equalAverage="0" bottom="0" percent="0" rank="0" text="" dxfId="28">
      <formula>$E$21=""</formula>
    </cfRule>
  </conditionalFormatting>
  <conditionalFormatting sqref="S21">
    <cfRule type="expression" priority="22" aboveAverage="0" equalAverage="0" bottom="0" percent="0" rank="0" text="" dxfId="29">
      <formula>$E$21=""</formula>
    </cfRule>
  </conditionalFormatting>
  <conditionalFormatting sqref="T21">
    <cfRule type="expression" priority="23" aboveAverage="0" equalAverage="0" bottom="0" percent="0" rank="0" text="" dxfId="30">
      <formula>$E$21=""</formula>
    </cfRule>
  </conditionalFormatting>
  <conditionalFormatting sqref="U21">
    <cfRule type="expression" priority="24" aboveAverage="0" equalAverage="0" bottom="0" percent="0" rank="0" text="" dxfId="31">
      <formula>$E$21=""</formula>
    </cfRule>
  </conditionalFormatting>
  <conditionalFormatting sqref="V21">
    <cfRule type="expression" priority="25" aboveAverage="0" equalAverage="0" bottom="0" percent="0" rank="0" text="" dxfId="32">
      <formula>$E$21=""</formula>
    </cfRule>
  </conditionalFormatting>
  <conditionalFormatting sqref="V20">
    <cfRule type="expression" priority="26" aboveAverage="0" equalAverage="0" bottom="0" percent="0" rank="0" text="" dxfId="33">
      <formula>$E$19=""</formula>
    </cfRule>
  </conditionalFormatting>
  <conditionalFormatting sqref="E16:V16">
    <cfRule type="expression" priority="27" aboveAverage="0" equalAverage="0" bottom="0" percent="0" rank="0" text="" dxfId="34">
      <formula>$E$16=""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2015-05-12T07:51:55Z</dcterms:created>
  <dc:creator>吉井英人</dc:creator>
  <dc:description/>
  <dc:language>ja-JP</dc:language>
  <cp:lastModifiedBy/>
  <cp:lastPrinted>2022-04-11T23:19:41Z</cp:lastPrinted>
  <dcterms:modified xsi:type="dcterms:W3CDTF">2022-06-15T17:40:17Z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